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helmsen-my.sharepoint.com/personal/vratislav_celko_wilhelmsen_com/Documents/Documents/Cenníky/"/>
    </mc:Choice>
  </mc:AlternateContent>
  <xr:revisionPtr revIDLastSave="126" documentId="8_{3D69BAFD-6BBA-47BB-A128-B8D480057EEA}" xr6:coauthVersionLast="47" xr6:coauthVersionMax="47" xr10:uidLastSave="{25A595F3-3D8C-47EA-9276-D2E9204FA8DC}"/>
  <bookViews>
    <workbookView minimized="1" xWindow="1560" yWindow="1560" windowWidth="21600" windowHeight="11295" xr2:uid="{00000000-000D-0000-FFFF-FFFF00000000}"/>
  </bookViews>
  <sheets>
    <sheet name="kalkulátor rezných dĺžok" sheetId="8" r:id="rId1"/>
    <sheet name="Acera Amundsen 5-6G" sheetId="12" r:id="rId2"/>
    <sheet name="Acera daGama 6G" sheetId="14" r:id="rId3"/>
    <sheet name="Hárok5" sheetId="13" r:id="rId4"/>
    <sheet name="Hárok3" sheetId="9" r:id="rId5"/>
    <sheet name="Terraline Duodec" sheetId="10" r:id="rId6"/>
    <sheet name="Terraline 12" sheetId="11" r:id="rId7"/>
    <sheet name="TSM_TSS" sheetId="1" r:id="rId8"/>
    <sheet name="PES_PA" sheetId="6" r:id="rId9"/>
    <sheet name="Acera Amundsen 7G" sheetId="2" r:id="rId10"/>
    <sheet name="Acera daGama 7G" sheetId="3" r:id="rId11"/>
    <sheet name="Acera Nansen" sheetId="4" r:id="rId12"/>
  </sheets>
  <definedNames>
    <definedName name="_xlnm._FilterDatabase" localSheetId="0" hidden="1">'kalkulátor rezných dĺžok'!$A$2:$A$12</definedName>
    <definedName name="_xlnm._FilterDatabase" localSheetId="7" hidden="1">TSM_TSS!$A$2:$F$47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  <c r="M11" i="3" l="1"/>
  <c r="L11" i="3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3" i="6" l="1"/>
  <c r="J12" i="8"/>
  <c r="J11" i="8"/>
  <c r="C3" i="11" l="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2" i="11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2" i="10"/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R9" i="8" l="1"/>
  <c r="V9" i="8" s="1"/>
  <c r="R8" i="8"/>
  <c r="V8" i="8" s="1"/>
  <c r="R7" i="8"/>
  <c r="V7" i="8" s="1"/>
  <c r="R6" i="8"/>
  <c r="U6" i="8" s="1"/>
  <c r="R5" i="8"/>
  <c r="U5" i="8" s="1"/>
  <c r="R4" i="8"/>
  <c r="U4" i="8" s="1"/>
  <c r="R3" i="8"/>
  <c r="U3" i="8" s="1"/>
  <c r="M3" i="9"/>
  <c r="N2" i="9"/>
  <c r="F12" i="8"/>
  <c r="I2" i="9"/>
  <c r="B2" i="9"/>
  <c r="B3" i="9" s="1"/>
  <c r="C2" i="9" s="1"/>
  <c r="J10" i="8" s="1"/>
  <c r="I10" i="8" s="1"/>
  <c r="F3" i="9"/>
  <c r="J9" i="8"/>
  <c r="F9" i="8" s="1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J8" i="8"/>
  <c r="F8" i="8" s="1"/>
  <c r="F5" i="6"/>
  <c r="F4" i="6"/>
  <c r="F3" i="6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J4" i="8" s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J3" i="8"/>
  <c r="I3" i="8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C4" i="4"/>
  <c r="J7" i="8"/>
  <c r="I7" i="8" s="1"/>
  <c r="C5" i="4"/>
  <c r="C6" i="4"/>
  <c r="I6" i="4" s="1"/>
  <c r="C7" i="4"/>
  <c r="H7" i="4"/>
  <c r="C3" i="4"/>
  <c r="G3" i="4"/>
  <c r="O3" i="4"/>
  <c r="G10" i="3"/>
  <c r="N10" i="3" s="1"/>
  <c r="G9" i="3"/>
  <c r="N9" i="3" s="1"/>
  <c r="G8" i="3"/>
  <c r="N8" i="3" s="1"/>
  <c r="G7" i="3"/>
  <c r="M7" i="3" s="1"/>
  <c r="G6" i="3"/>
  <c r="N6" i="3" s="1"/>
  <c r="G5" i="3"/>
  <c r="N5" i="3" s="1"/>
  <c r="G4" i="3"/>
  <c r="N4" i="3"/>
  <c r="G3" i="3"/>
  <c r="L3" i="3" s="1"/>
  <c r="J5" i="8"/>
  <c r="H6" i="4"/>
  <c r="U3" i="4"/>
  <c r="T3" i="4"/>
  <c r="S3" i="4"/>
  <c r="I5" i="4"/>
  <c r="H5" i="4"/>
  <c r="G5" i="4"/>
  <c r="I3" i="4"/>
  <c r="I4" i="4"/>
  <c r="J6" i="8"/>
  <c r="L6" i="8" s="1"/>
  <c r="L4" i="3"/>
  <c r="L5" i="3"/>
  <c r="L6" i="3"/>
  <c r="M8" i="3"/>
  <c r="M9" i="3"/>
  <c r="L8" i="3"/>
  <c r="L9" i="3"/>
  <c r="M4" i="3"/>
  <c r="M5" i="3"/>
  <c r="I7" i="4"/>
  <c r="G4" i="4"/>
  <c r="L10" i="3"/>
  <c r="H4" i="4"/>
  <c r="H3" i="4"/>
  <c r="G7" i="4"/>
  <c r="M10" i="3"/>
  <c r="M6" i="3"/>
  <c r="I12" i="8"/>
  <c r="L12" i="8"/>
  <c r="U9" i="8" l="1"/>
  <c r="U8" i="8"/>
  <c r="U7" i="8"/>
  <c r="V4" i="8"/>
  <c r="I3" i="9"/>
  <c r="J2" i="9" s="1"/>
  <c r="V6" i="8"/>
  <c r="F5" i="8"/>
  <c r="F7" i="8"/>
  <c r="M3" i="3"/>
  <c r="N3" i="3"/>
  <c r="M7" i="8"/>
  <c r="K9" i="8"/>
  <c r="F3" i="8"/>
  <c r="V3" i="8"/>
  <c r="I4" i="8"/>
  <c r="L4" i="8"/>
  <c r="F4" i="8"/>
  <c r="K4" i="8"/>
  <c r="G6" i="4"/>
  <c r="N7" i="3"/>
  <c r="L7" i="3"/>
  <c r="V5" i="8"/>
  <c r="N5" i="8"/>
  <c r="L5" i="8"/>
  <c r="M5" i="8"/>
  <c r="L3" i="8"/>
  <c r="I5" i="8"/>
  <c r="K12" i="8"/>
  <c r="K5" i="8"/>
  <c r="L7" i="8"/>
  <c r="I9" i="8"/>
  <c r="N7" i="8"/>
  <c r="L9" i="8"/>
  <c r="K7" i="8"/>
  <c r="L8" i="8"/>
  <c r="I11" i="8"/>
  <c r="L11" i="8"/>
  <c r="F11" i="8"/>
  <c r="K11" i="8"/>
  <c r="F10" i="8"/>
  <c r="K10" i="8"/>
  <c r="L10" i="8"/>
  <c r="K3" i="8"/>
  <c r="I8" i="8"/>
  <c r="K8" i="8"/>
  <c r="F6" i="8"/>
  <c r="K6" i="8"/>
  <c r="M6" i="8"/>
  <c r="I6" i="8"/>
  <c r="N6" i="8"/>
</calcChain>
</file>

<file path=xl/sharedStrings.xml><?xml version="1.0" encoding="utf-8"?>
<sst xmlns="http://schemas.openxmlformats.org/spreadsheetml/2006/main" count="113" uniqueCount="76">
  <si>
    <t>Prepočet podla dĺžky stúpania</t>
  </si>
  <si>
    <t>Druh Lana</t>
  </si>
  <si>
    <t>priemer</t>
  </si>
  <si>
    <r>
      <t xml:space="preserve">požadovaná </t>
    </r>
    <r>
      <rPr>
        <sz val="12"/>
        <color theme="1"/>
        <rFont val="Calibri"/>
        <family val="2"/>
        <charset val="238"/>
        <scheme val="minor"/>
      </rPr>
      <t>REZNÁ</t>
    </r>
    <r>
      <rPr>
        <sz val="10"/>
        <color theme="1"/>
        <rFont val="Calibri"/>
        <family val="2"/>
        <charset val="238"/>
        <scheme val="minor"/>
      </rPr>
      <t xml:space="preserve"> dĺžka</t>
    </r>
  </si>
  <si>
    <t>velkost oka 1</t>
  </si>
  <si>
    <t>velkost oka 2</t>
  </si>
  <si>
    <t>finálna dĺžka po zapletení</t>
  </si>
  <si>
    <t>Stĺpec2</t>
  </si>
  <si>
    <r>
      <t xml:space="preserve">požadovaná </t>
    </r>
    <r>
      <rPr>
        <sz val="12"/>
        <color theme="1"/>
        <rFont val="Calibri"/>
        <family val="2"/>
        <charset val="238"/>
        <scheme val="minor"/>
      </rPr>
      <t>FINÁLNA</t>
    </r>
    <r>
      <rPr>
        <sz val="10"/>
        <color theme="1"/>
        <rFont val="Calibri"/>
        <family val="2"/>
        <charset val="238"/>
        <scheme val="minor"/>
      </rPr>
      <t xml:space="preserve"> dĺžka</t>
    </r>
  </si>
  <si>
    <t xml:space="preserve">rezná dĺžka pred zapletením </t>
  </si>
  <si>
    <t>dlžka jedného zapletu</t>
  </si>
  <si>
    <t>rezná dĺžka pred zapletením 2</t>
  </si>
  <si>
    <t>final  dĺžka po zapletení            2</t>
  </si>
  <si>
    <t xml:space="preserve">rezná dĺžka grommet        </t>
  </si>
  <si>
    <t xml:space="preserve">rezná dĺžka multisling        </t>
  </si>
  <si>
    <t>dĺžka stúpania</t>
  </si>
  <si>
    <t>požadovaná dĺžka</t>
  </si>
  <si>
    <t>dĺžka zápletu</t>
  </si>
  <si>
    <t>Velkosť oka 1</t>
  </si>
  <si>
    <t>Velkosť oka 2</t>
  </si>
  <si>
    <t xml:space="preserve">rezná dĺžka pred zapletením              </t>
  </si>
  <si>
    <t xml:space="preserve">final dĺžka po zapletení              </t>
  </si>
  <si>
    <t>TSM/TSS 8pr.</t>
  </si>
  <si>
    <t>TSM/TSS 12pr.</t>
  </si>
  <si>
    <t>ACERA Amundsen</t>
  </si>
  <si>
    <t>Acera daGama</t>
  </si>
  <si>
    <t>Acera Nansen</t>
  </si>
  <si>
    <t>Polyamid 8pr.</t>
  </si>
  <si>
    <t>Polyamid 12pr.</t>
  </si>
  <si>
    <t>Winchline srdce 12pr. Herzog</t>
  </si>
  <si>
    <t>Terraline duodec2 12pr.</t>
  </si>
  <si>
    <t>Terraline 12pr.</t>
  </si>
  <si>
    <t>Ak sa po zadaní udajov nezobrazí výsledok, je to preto že sa taký výrobok nikdy nerobil a neexistuje na to TK. V tom prípade sa musí použit prepočet podľa dĺžky stúpania.</t>
  </si>
  <si>
    <t>Priemer</t>
  </si>
  <si>
    <t>Dĺžka stúpania (mm)</t>
  </si>
  <si>
    <t>Dĺžka zápletu (m)</t>
  </si>
  <si>
    <t>priemer (mm)</t>
  </si>
  <si>
    <t>skrut lana (mm)</t>
  </si>
  <si>
    <t>dĺžka zápletu (m)</t>
  </si>
  <si>
    <t>Winchline Srde 12st Herzog</t>
  </si>
  <si>
    <t xml:space="preserve">Timm Master 12st </t>
  </si>
  <si>
    <t xml:space="preserve">Terraline duodec2 12st </t>
  </si>
  <si>
    <t xml:space="preserve">Terraline  12st </t>
  </si>
  <si>
    <t>Nominalny priemer</t>
  </si>
  <si>
    <t>LL lana</t>
  </si>
  <si>
    <t>stupanie</t>
  </si>
  <si>
    <t>dlžka zapletu</t>
  </si>
  <si>
    <t>stupanie2</t>
  </si>
  <si>
    <t>dlžka zapletu2</t>
  </si>
  <si>
    <t>PA 12pr.</t>
  </si>
  <si>
    <t>PA 8pr.</t>
  </si>
  <si>
    <t>Priemer2</t>
  </si>
  <si>
    <t>dlžka zápletu</t>
  </si>
  <si>
    <t>priemer3</t>
  </si>
  <si>
    <t>stupanie4</t>
  </si>
  <si>
    <t>dlzka zapletu</t>
  </si>
  <si>
    <t>Amundsen</t>
  </si>
  <si>
    <t>daGama T1</t>
  </si>
  <si>
    <t>daGama T2</t>
  </si>
  <si>
    <t>dĺžka zápletu (mm)</t>
  </si>
  <si>
    <t>počet     očí</t>
  </si>
  <si>
    <t>velkosť oka   1                (m)</t>
  </si>
  <si>
    <t>velkosť oka   2                (m)</t>
  </si>
  <si>
    <t>finálna dĺžka</t>
  </si>
  <si>
    <r>
      <t xml:space="preserve">rezná dĺžka           </t>
    </r>
    <r>
      <rPr>
        <b/>
        <sz val="16"/>
        <rFont val="Calibri"/>
        <family val="2"/>
        <charset val="238"/>
        <scheme val="minor"/>
      </rPr>
      <t xml:space="preserve">sling </t>
    </r>
    <r>
      <rPr>
        <b/>
        <sz val="10"/>
        <rFont val="Calibri"/>
        <family val="2"/>
        <charset val="238"/>
        <scheme val="minor"/>
      </rPr>
      <t xml:space="preserve">              (m)</t>
    </r>
  </si>
  <si>
    <r>
      <t xml:space="preserve">rezná dĺžka             </t>
    </r>
    <r>
      <rPr>
        <b/>
        <sz val="16"/>
        <rFont val="Calibri"/>
        <family val="2"/>
        <charset val="238"/>
        <scheme val="minor"/>
      </rPr>
      <t xml:space="preserve">grommet </t>
    </r>
    <r>
      <rPr>
        <b/>
        <sz val="10"/>
        <rFont val="Calibri"/>
        <family val="2"/>
        <charset val="238"/>
        <scheme val="minor"/>
      </rPr>
      <t xml:space="preserve">        (m)</t>
    </r>
  </si>
  <si>
    <r>
      <t xml:space="preserve">rezná dĺžka           </t>
    </r>
    <r>
      <rPr>
        <b/>
        <sz val="16"/>
        <rFont val="Calibri"/>
        <family val="2"/>
        <charset val="238"/>
        <scheme val="minor"/>
      </rPr>
      <t>multisling</t>
    </r>
    <r>
      <rPr>
        <b/>
        <sz val="10"/>
        <rFont val="Calibri"/>
        <family val="2"/>
        <charset val="238"/>
        <scheme val="minor"/>
      </rPr>
      <t xml:space="preserve">             (m)</t>
    </r>
  </si>
  <si>
    <t>poznámky</t>
  </si>
  <si>
    <t>Nansen</t>
  </si>
  <si>
    <r>
      <t xml:space="preserve">Nansen </t>
    </r>
    <r>
      <rPr>
        <b/>
        <sz val="11"/>
        <rFont val="Verdana"/>
        <family val="2"/>
        <charset val="238"/>
      </rPr>
      <t>(podla dĺžky stúpania)</t>
    </r>
  </si>
  <si>
    <t xml:space="preserve">velkost oka  1   (m)           </t>
  </si>
  <si>
    <t xml:space="preserve">velkost oka  2   (m)           </t>
  </si>
  <si>
    <t>finálna dĺžka    (m)</t>
  </si>
  <si>
    <t>rezná dĺžka sling               (m)</t>
  </si>
  <si>
    <t xml:space="preserve">rezná dĺžka grommet         (m) </t>
  </si>
  <si>
    <t xml:space="preserve">rezná dĺžka multisling        (m)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</si>
</sst>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Verdana"/>
      <family val="2"/>
      <charset val="238"/>
    </font>
    <font>
      <b/>
      <sz val="1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F0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" fontId="2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2" fontId="2" fillId="5" borderId="2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2" fillId="5" borderId="0" xfId="0" applyFont="1" applyFill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2" fontId="2" fillId="5" borderId="5" xfId="0" applyNumberFormat="1" applyFont="1" applyFill="1" applyBorder="1" applyAlignment="1">
      <alignment horizontal="center" wrapText="1"/>
    </xf>
    <xf numFmtId="0" fontId="0" fillId="4" borderId="8" xfId="0" applyFill="1" applyBorder="1"/>
    <xf numFmtId="0" fontId="0" fillId="4" borderId="6" xfId="0" applyFill="1" applyBorder="1"/>
    <xf numFmtId="2" fontId="0" fillId="4" borderId="6" xfId="0" applyNumberFormat="1" applyFill="1" applyBorder="1"/>
    <xf numFmtId="3" fontId="0" fillId="4" borderId="6" xfId="0" applyNumberFormat="1" applyFill="1" applyBorder="1"/>
    <xf numFmtId="165" fontId="0" fillId="4" borderId="6" xfId="0" applyNumberFormat="1" applyFill="1" applyBorder="1"/>
    <xf numFmtId="0" fontId="0" fillId="0" borderId="8" xfId="0" applyBorder="1"/>
    <xf numFmtId="0" fontId="0" fillId="0" borderId="6" xfId="0" applyBorder="1"/>
    <xf numFmtId="2" fontId="0" fillId="0" borderId="6" xfId="0" applyNumberFormat="1" applyBorder="1"/>
    <xf numFmtId="3" fontId="0" fillId="0" borderId="6" xfId="0" applyNumberFormat="1" applyBorder="1"/>
    <xf numFmtId="165" fontId="0" fillId="0" borderId="6" xfId="0" applyNumberFormat="1" applyBorder="1"/>
    <xf numFmtId="2" fontId="0" fillId="0" borderId="0" xfId="0" applyNumberFormat="1"/>
    <xf numFmtId="0" fontId="0" fillId="0" borderId="0" xfId="0" applyProtection="1">
      <protection locked="0"/>
    </xf>
    <xf numFmtId="2" fontId="2" fillId="5" borderId="14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>
      <alignment horizontal="center" vertical="center" wrapText="1"/>
    </xf>
    <xf numFmtId="164" fontId="2" fillId="5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" fontId="3" fillId="0" borderId="1" xfId="0" applyNumberFormat="1" applyFont="1" applyBorder="1"/>
    <xf numFmtId="0" fontId="0" fillId="0" borderId="11" xfId="0" applyBorder="1"/>
    <xf numFmtId="2" fontId="2" fillId="2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/>
    <xf numFmtId="0" fontId="0" fillId="0" borderId="4" xfId="0" applyBorder="1"/>
    <xf numFmtId="164" fontId="2" fillId="2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2" borderId="11" xfId="0" applyFill="1" applyBorder="1"/>
    <xf numFmtId="0" fontId="0" fillId="0" borderId="7" xfId="0" applyBorder="1"/>
    <xf numFmtId="0" fontId="0" fillId="0" borderId="13" xfId="0" applyBorder="1"/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7" borderId="0" xfId="0" applyNumberFormat="1" applyFill="1" applyAlignment="1" applyProtection="1">
      <alignment horizontal="center" vertical="center"/>
      <protection locked="0"/>
    </xf>
    <xf numFmtId="164" fontId="0" fillId="7" borderId="0" xfId="0" applyNumberFormat="1" applyFill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/>
    <xf numFmtId="2" fontId="0" fillId="0" borderId="8" xfId="0" applyNumberFormat="1" applyBorder="1"/>
    <xf numFmtId="0" fontId="13" fillId="9" borderId="1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0" fillId="0" borderId="1" xfId="0" applyBorder="1"/>
    <xf numFmtId="0" fontId="0" fillId="5" borderId="0" xfId="0" applyFill="1" applyAlignment="1">
      <alignment horizontal="center"/>
    </xf>
    <xf numFmtId="2" fontId="3" fillId="0" borderId="1" xfId="0" applyNumberFormat="1" applyFont="1" applyBorder="1"/>
    <xf numFmtId="2" fontId="3" fillId="0" borderId="3" xfId="0" applyNumberFormat="1" applyFont="1" applyBorder="1"/>
    <xf numFmtId="2" fontId="4" fillId="0" borderId="1" xfId="0" applyNumberFormat="1" applyFont="1" applyBorder="1"/>
    <xf numFmtId="0" fontId="0" fillId="0" borderId="0" xfId="0" applyAlignment="1">
      <alignment wrapText="1"/>
    </xf>
    <xf numFmtId="1" fontId="0" fillId="0" borderId="0" xfId="0" applyNumberFormat="1"/>
    <xf numFmtId="1" fontId="2" fillId="5" borderId="3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0" xfId="0" applyNumberFormat="1" applyFont="1"/>
    <xf numFmtId="0" fontId="0" fillId="0" borderId="5" xfId="0" applyBorder="1"/>
    <xf numFmtId="2" fontId="0" fillId="0" borderId="5" xfId="0" applyNumberFormat="1" applyBorder="1"/>
    <xf numFmtId="2" fontId="2" fillId="5" borderId="0" xfId="0" applyNumberFormat="1" applyFont="1" applyFill="1" applyAlignment="1">
      <alignment horizontal="center" wrapText="1"/>
    </xf>
    <xf numFmtId="2" fontId="0" fillId="4" borderId="0" xfId="0" applyNumberFormat="1" applyFill="1"/>
    <xf numFmtId="0" fontId="17" fillId="6" borderId="17" xfId="0" applyFont="1" applyFill="1" applyBorder="1" applyAlignment="1" applyProtection="1">
      <alignment wrapText="1"/>
      <protection locked="0"/>
    </xf>
    <xf numFmtId="2" fontId="2" fillId="5" borderId="19" xfId="0" applyNumberFormat="1" applyFont="1" applyFill="1" applyBorder="1" applyAlignment="1">
      <alignment horizontal="center" wrapText="1"/>
    </xf>
    <xf numFmtId="1" fontId="2" fillId="5" borderId="19" xfId="0" applyNumberFormat="1" applyFont="1" applyFill="1" applyBorder="1" applyAlignment="1">
      <alignment horizontal="center" vertical="top" wrapText="1"/>
    </xf>
    <xf numFmtId="2" fontId="2" fillId="5" borderId="19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wrapText="1"/>
    </xf>
    <xf numFmtId="0" fontId="0" fillId="0" borderId="20" xfId="0" applyBorder="1"/>
    <xf numFmtId="0" fontId="0" fillId="4" borderId="20" xfId="0" applyFill="1" applyBorder="1"/>
    <xf numFmtId="0" fontId="0" fillId="0" borderId="21" xfId="0" applyBorder="1"/>
    <xf numFmtId="164" fontId="0" fillId="0" borderId="20" xfId="0" applyNumberFormat="1" applyBorder="1"/>
    <xf numFmtId="2" fontId="0" fillId="4" borderId="20" xfId="0" applyNumberFormat="1" applyFill="1" applyBorder="1" applyAlignment="1">
      <alignment wrapText="1"/>
    </xf>
    <xf numFmtId="2" fontId="0" fillId="0" borderId="20" xfId="0" applyNumberFormat="1" applyBorder="1"/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4" borderId="19" xfId="0" applyFill="1" applyBorder="1" applyAlignment="1">
      <alignment horizontal="center"/>
    </xf>
    <xf numFmtId="2" fontId="0" fillId="4" borderId="19" xfId="0" applyNumberFormat="1" applyFill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2" fontId="2" fillId="5" borderId="10" xfId="0" applyNumberFormat="1" applyFont="1" applyFill="1" applyBorder="1" applyAlignment="1">
      <alignment horizontal="center" wrapText="1"/>
    </xf>
    <xf numFmtId="0" fontId="0" fillId="4" borderId="10" xfId="0" applyFill="1" applyBorder="1"/>
    <xf numFmtId="2" fontId="0" fillId="4" borderId="10" xfId="0" applyNumberFormat="1" applyFill="1" applyBorder="1"/>
    <xf numFmtId="0" fontId="0" fillId="0" borderId="10" xfId="0" applyBorder="1"/>
    <xf numFmtId="2" fontId="0" fillId="0" borderId="10" xfId="0" applyNumberFormat="1" applyBorder="1"/>
    <xf numFmtId="0" fontId="0" fillId="4" borderId="4" xfId="0" applyFill="1" applyBorder="1"/>
    <xf numFmtId="2" fontId="0" fillId="4" borderId="4" xfId="0" applyNumberFormat="1" applyFill="1" applyBorder="1"/>
    <xf numFmtId="0" fontId="14" fillId="6" borderId="15" xfId="0" applyFont="1" applyFill="1" applyBorder="1" applyAlignment="1">
      <alignment horizontal="left" wrapText="1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0" fontId="15" fillId="10" borderId="1" xfId="0" applyFont="1" applyFill="1" applyBorder="1" applyAlignment="1">
      <alignment horizontal="center" vertical="center"/>
    </xf>
    <xf numFmtId="0" fontId="0" fillId="8" borderId="0" xfId="0" applyFill="1" applyProtection="1">
      <protection locked="0"/>
    </xf>
    <xf numFmtId="0" fontId="14" fillId="6" borderId="0" xfId="0" applyFont="1" applyFill="1" applyProtection="1">
      <protection locked="0"/>
    </xf>
    <xf numFmtId="0" fontId="14" fillId="6" borderId="8" xfId="0" applyFont="1" applyFill="1" applyBorder="1" applyProtection="1">
      <protection locked="0"/>
    </xf>
    <xf numFmtId="0" fontId="7" fillId="6" borderId="16" xfId="0" applyFont="1" applyFill="1" applyBorder="1" applyAlignment="1" applyProtection="1">
      <alignment wrapText="1"/>
      <protection locked="0"/>
    </xf>
    <xf numFmtId="0" fontId="13" fillId="9" borderId="17" xfId="0" applyFont="1" applyFill="1" applyBorder="1" applyAlignment="1" applyProtection="1">
      <alignment wrapText="1"/>
      <protection locked="0"/>
    </xf>
    <xf numFmtId="0" fontId="14" fillId="6" borderId="15" xfId="0" applyFont="1" applyFill="1" applyBorder="1" applyAlignment="1" applyProtection="1">
      <alignment horizontal="center" wrapText="1"/>
      <protection locked="0"/>
    </xf>
    <xf numFmtId="0" fontId="14" fillId="6" borderId="15" xfId="0" applyFont="1" applyFill="1" applyBorder="1" applyAlignment="1" applyProtection="1">
      <alignment wrapText="1"/>
      <protection locked="0"/>
    </xf>
    <xf numFmtId="0" fontId="15" fillId="10" borderId="22" xfId="0" applyFont="1" applyFill="1" applyBorder="1" applyAlignment="1" applyProtection="1">
      <alignment horizontal="center" vertical="center"/>
      <protection locked="0"/>
    </xf>
    <xf numFmtId="1" fontId="1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>
      <alignment wrapText="1"/>
    </xf>
    <xf numFmtId="0" fontId="8" fillId="10" borderId="1" xfId="0" applyFont="1" applyFill="1" applyBorder="1"/>
    <xf numFmtId="0" fontId="8" fillId="8" borderId="1" xfId="0" applyFont="1" applyFill="1" applyBorder="1"/>
    <xf numFmtId="0" fontId="17" fillId="6" borderId="17" xfId="0" applyFont="1" applyFill="1" applyBorder="1" applyAlignment="1">
      <alignment wrapText="1"/>
    </xf>
    <xf numFmtId="0" fontId="17" fillId="6" borderId="18" xfId="0" applyFont="1" applyFill="1" applyBorder="1" applyAlignment="1">
      <alignment wrapText="1"/>
    </xf>
    <xf numFmtId="1" fontId="15" fillId="8" borderId="1" xfId="0" applyNumberFormat="1" applyFont="1" applyFill="1" applyBorder="1" applyAlignment="1">
      <alignment horizontal="center" vertical="center"/>
    </xf>
    <xf numFmtId="0" fontId="14" fillId="6" borderId="8" xfId="0" applyFont="1" applyFill="1" applyBorder="1"/>
    <xf numFmtId="0" fontId="14" fillId="6" borderId="15" xfId="0" applyFont="1" applyFill="1" applyBorder="1" applyAlignment="1">
      <alignment wrapText="1"/>
    </xf>
    <xf numFmtId="0" fontId="15" fillId="10" borderId="22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8" fillId="4" borderId="8" xfId="0" applyFont="1" applyFill="1" applyBorder="1"/>
    <xf numFmtId="0" fontId="18" fillId="4" borderId="6" xfId="0" applyFont="1" applyFill="1" applyBorder="1"/>
    <xf numFmtId="3" fontId="18" fillId="4" borderId="6" xfId="0" applyNumberFormat="1" applyFont="1" applyFill="1" applyBorder="1"/>
    <xf numFmtId="165" fontId="18" fillId="4" borderId="6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9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2" fontId="11" fillId="5" borderId="10" xfId="0" applyNumberFormat="1" applyFont="1" applyFill="1" applyBorder="1" applyAlignment="1">
      <alignment horizontal="center" vertical="center"/>
    </xf>
    <xf numFmtId="2" fontId="11" fillId="5" borderId="12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solid">
          <fgColor indexed="64"/>
          <bgColor theme="0" tint="-0.3499862666707357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Verdana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right style="thin">
          <color theme="0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theme="1"/>
        <name val="Verdana"/>
        <family val="2"/>
        <charset val="238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-0.249977111117893"/>
        </patternFill>
      </fill>
      <alignment horizontal="general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CBF0F9"/>
      <color rgb="FFA7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uľka8" displayName="Tabuľka8" ref="B2:N12" totalsRowShown="0" headerRowDxfId="78" dataDxfId="76" headerRowBorderDxfId="77" tableBorderDxfId="75">
  <tableColumns count="13">
    <tableColumn id="1" xr3:uid="{00000000-0010-0000-0000-000001000000}" name="priemer" dataDxfId="74"/>
    <tableColumn id="2" xr3:uid="{00000000-0010-0000-0000-000002000000}" name="požadovaná REZNÁ dĺžka" dataDxfId="73"/>
    <tableColumn id="3" xr3:uid="{00000000-0010-0000-0000-000003000000}" name="velkost oka 1" dataDxfId="72"/>
    <tableColumn id="4" xr3:uid="{00000000-0010-0000-0000-000004000000}" name="velkost oka 2" dataDxfId="71"/>
    <tableColumn id="9" xr3:uid="{00000000-0010-0000-0000-000009000000}" name="finálna dĺžka po zapletení" dataDxfId="70">
      <calculatedColumnFormula>ROUND(C2-IF(D2&gt;0,D2+(J2/1000),0)-IF(E2&gt;0,E2+(J2/1000),0),0)</calculatedColumnFormula>
    </tableColumn>
    <tableColumn id="14" xr3:uid="{00000000-0010-0000-0000-00000E000000}" name="Stĺpec2" dataDxfId="69"/>
    <tableColumn id="10" xr3:uid="{00000000-0010-0000-0000-00000A000000}" name="požadovaná FINÁLNA dĺžka" dataDxfId="68"/>
    <tableColumn id="17" xr3:uid="{00000000-0010-0000-0000-000011000000}" name="rezná dĺžka pred zapletením " dataDxfId="67"/>
    <tableColumn id="5" xr3:uid="{00000000-0010-0000-0000-000005000000}" name="dlžka jedného zapletu" dataDxfId="66"/>
    <tableColumn id="6" xr3:uid="{00000000-0010-0000-0000-000006000000}" name="rezná dĺžka pred zapletením 2" dataDxfId="65"/>
    <tableColumn id="7" xr3:uid="{00000000-0010-0000-0000-000007000000}" name="final  dĺžka po zapletení            2" dataDxfId="64"/>
    <tableColumn id="12" xr3:uid="{00000000-0010-0000-0000-00000C000000}" name="rezná dĺžka grommet        " dataDxfId="63"/>
    <tableColumn id="13" xr3:uid="{00000000-0010-0000-0000-00000D000000}" name="rezná dĺžka multisling        " dataDxfId="6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uľka4" displayName="Tabuľka4" ref="A2:F47" totalsRowShown="0" tableBorderDxfId="61">
  <autoFilter ref="A2:F47" xr:uid="{00000000-0009-0000-0100-000004000000}"/>
  <tableColumns count="6">
    <tableColumn id="1" xr3:uid="{00000000-0010-0000-0100-000001000000}" name="Priemer" dataDxfId="60"/>
    <tableColumn id="2" xr3:uid="{00000000-0010-0000-0100-000002000000}" name="požadovaná dĺžka" dataDxfId="59"/>
    <tableColumn id="15" xr3:uid="{00000000-0010-0000-0100-00000F000000}" name="stupanie" dataDxfId="58">
      <calculatedColumnFormula>Tabuľka4[[#This Row],[Priemer]]*6.4347826</calculatedColumnFormula>
    </tableColumn>
    <tableColumn id="16" xr3:uid="{00000000-0010-0000-0100-000010000000}" name="dlžka zapletu" dataDxfId="57">
      <calculatedColumnFormula>(Tabuľka4[[#This Row],[stupanie]]/6*18)/1000</calculatedColumnFormula>
    </tableColumn>
    <tableColumn id="18" xr3:uid="{00000000-0010-0000-0100-000012000000}" name="stupanie2" dataDxfId="56"/>
    <tableColumn id="19" xr3:uid="{00000000-0010-0000-0100-000013000000}" name="dlžka zapletu2" dataDxfId="55">
      <calculatedColumnFormula>Tabuľka4[[#This Row],[stupanie2]]/2*5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uľka48" displayName="Tabuľka48" ref="A2:E48" totalsRowShown="0" dataDxfId="54" tableBorderDxfId="53">
  <autoFilter ref="A2:E48" xr:uid="{00000000-0009-0000-0100-000007000000}"/>
  <tableColumns count="5">
    <tableColumn id="2" xr3:uid="{00000000-0010-0000-0200-000002000000}" name="Priemer2" dataDxfId="52"/>
    <tableColumn id="6" xr3:uid="{00000000-0010-0000-0200-000006000000}" name="stupanie" dataDxfId="51">
      <calculatedColumnFormula>A3-IF(#REF!&gt;0,#REF!+1)-IF(#REF!&gt;0,#REF!+1)</calculatedColumnFormula>
    </tableColumn>
    <tableColumn id="3" xr3:uid="{00000000-0010-0000-0200-000003000000}" name="dlžka zápletu" dataDxfId="50">
      <calculatedColumnFormula>(Tabuľka48[[#This Row],[stupanie]]/6*18)/1000</calculatedColumnFormula>
    </tableColumn>
    <tableColumn id="9" xr3:uid="{00000000-0010-0000-0200-000009000000}" name="priemer3" dataDxfId="49">
      <calculatedColumnFormula>Tabuľka48[[#This Row],[Priemer2]]</calculatedColumnFormula>
    </tableColumn>
    <tableColumn id="12" xr3:uid="{00000000-0010-0000-0200-00000C000000}" name="stupanie4" dataDxfId="48">
      <calculatedColumnFormula>(#REF!-#REF!)+Tabuľka48[[#This Row],[Priemer2]]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uľka3" displayName="Tabuľka3" ref="A2:C118" totalsRowShown="0" headerRowDxfId="47" tableBorderDxfId="46">
  <autoFilter ref="A2:C118" xr:uid="{00000000-0009-0000-0100-000001000000}"/>
  <tableColumns count="3">
    <tableColumn id="1" xr3:uid="{00000000-0010-0000-0300-000001000000}" name="Priemer" dataDxfId="45"/>
    <tableColumn id="2" xr3:uid="{00000000-0010-0000-0300-000002000000}" name="Dĺžka stúpania (mm)" dataDxfId="44"/>
    <tableColumn id="3" xr3:uid="{00000000-0010-0000-0300-000003000000}" name="Dĺžka zápletu (m)" dataDxfId="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uľka17" displayName="Tabuľka17" ref="A2:C117" totalsRowShown="0" headerRowDxfId="42" dataDxfId="41" tableBorderDxfId="40">
  <autoFilter ref="A2:C117" xr:uid="{00000000-0009-0000-0100-000002000000}"/>
  <tableColumns count="3">
    <tableColumn id="1" xr3:uid="{00000000-0010-0000-0400-000001000000}" name="priemer (mm)" dataDxfId="39"/>
    <tableColumn id="2" xr3:uid="{00000000-0010-0000-0400-000002000000}" name="skrut lana (mm)" dataDxfId="38"/>
    <tableColumn id="3" xr3:uid="{00000000-0010-0000-0400-000003000000}" name="dĺžka zápletu (m)" dataDxfId="3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uľka18" displayName="Tabuľka18" ref="E2:O11" totalsRowShown="0" headerRowDxfId="36" dataDxfId="35" tableBorderDxfId="34">
  <autoFilter ref="E2:O11" xr:uid="{00000000-0009-0000-0100-000003000000}"/>
  <tableColumns count="11">
    <tableColumn id="1" xr3:uid="{00000000-0010-0000-0500-000001000000}" name="priemer (mm)" dataDxfId="33"/>
    <tableColumn id="2" xr3:uid="{00000000-0010-0000-0500-000002000000}" name="skrut lana (mm)" dataDxfId="32"/>
    <tableColumn id="3" xr3:uid="{00000000-0010-0000-0500-000003000000}" name="dĺžka zápletu (mm)" dataDxfId="31">
      <calculatedColumnFormula>F3/6*28/1000</calculatedColumnFormula>
    </tableColumn>
    <tableColumn id="4" xr3:uid="{00000000-0010-0000-0500-000004000000}" name="počet     očí" dataDxfId="30"/>
    <tableColumn id="5" xr3:uid="{00000000-0010-0000-0500-000005000000}" name="velkosť oka   1                (m)" dataDxfId="29"/>
    <tableColumn id="6" xr3:uid="{00000000-0010-0000-0500-000006000000}" name="velkosť oka   2                (m)" dataDxfId="28"/>
    <tableColumn id="7" xr3:uid="{00000000-0010-0000-0500-000007000000}" name="finálna dĺžka" dataDxfId="27"/>
    <tableColumn id="8" xr3:uid="{00000000-0010-0000-0500-000008000000}" name="rezná dĺžka           sling               (m)" dataDxfId="26">
      <calculatedColumnFormula>K3+J3+I3+(G3*H3)+0.5</calculatedColumnFormula>
    </tableColumn>
    <tableColumn id="9" xr3:uid="{00000000-0010-0000-0500-000009000000}" name="rezná dĺžka             grommet         (m)" dataDxfId="25">
      <calculatedColumnFormula>K3*2+G3*2+0.5</calculatedColumnFormula>
    </tableColumn>
    <tableColumn id="10" xr3:uid="{00000000-0010-0000-0500-00000A000000}" name="rezná dĺžka           multisling             (m)" dataDxfId="24">
      <calculatedColumnFormula>(K3*4)+(G3*2)+0.5</calculatedColumnFormula>
    </tableColumn>
    <tableColumn id="11" xr3:uid="{00000000-0010-0000-0500-00000B000000}" name="poznámky" dataDxfId="2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uľka186" displayName="Tabuľka186" ref="A2:J7" totalsRowShown="0" headerRowDxfId="22" dataDxfId="21" tableBorderDxfId="20">
  <autoFilter ref="A2:J7" xr:uid="{00000000-0009-0000-0100-000005000000}"/>
  <tableColumns count="10">
    <tableColumn id="1" xr3:uid="{00000000-0010-0000-0600-000001000000}" name="priemer (mm)" dataDxfId="19"/>
    <tableColumn id="2" xr3:uid="{00000000-0010-0000-0600-000002000000}" name="skrut lana (mm)" dataDxfId="18"/>
    <tableColumn id="3" xr3:uid="{00000000-0010-0000-0600-000003000000}" name="dĺžka zápletu (mm)" dataDxfId="17">
      <calculatedColumnFormula>(Tabuľka186[[#This Row],[skrut lana (mm)]]/2)*10/1000</calculatedColumnFormula>
    </tableColumn>
    <tableColumn id="5" xr3:uid="{00000000-0010-0000-0600-000005000000}" name="velkosť oka   1                (m)" dataDxfId="16"/>
    <tableColumn id="6" xr3:uid="{00000000-0010-0000-0600-000006000000}" name="velkosť oka   2                (m)" dataDxfId="15"/>
    <tableColumn id="7" xr3:uid="{00000000-0010-0000-0600-000007000000}" name="finálna dĺžka" dataDxfId="14"/>
    <tableColumn id="8" xr3:uid="{00000000-0010-0000-0600-000008000000}" name="rezná dĺžka           sling               (m)" dataDxfId="13">
      <calculatedColumnFormula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calculatedColumnFormula>
    </tableColumn>
    <tableColumn id="9" xr3:uid="{00000000-0010-0000-0600-000009000000}" name="rezná dĺžka             grommet         (m)" dataDxfId="12">
      <calculatedColumnFormula>ROUNDUP(F3*2+C3*2+2,0)</calculatedColumnFormula>
    </tableColumn>
    <tableColumn id="10" xr3:uid="{00000000-0010-0000-0600-00000A000000}" name="rezná dĺžka           multisling             (m)" dataDxfId="11">
      <calculatedColumnFormula>(F3*4+1)+(C3*2+1)</calculatedColumnFormula>
    </tableColumn>
    <tableColumn id="11" xr3:uid="{00000000-0010-0000-0600-00000B000000}" name="poznámky" dataDxfId="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abuľka2" displayName="Tabuľka2" ref="N2:U3" totalsRowShown="0" headerRowDxfId="9" tableBorderDxfId="8">
  <autoFilter ref="N2:U3" xr:uid="{00000000-0009-0000-0100-000006000000}"/>
  <tableColumns count="8">
    <tableColumn id="1" xr3:uid="{00000000-0010-0000-0700-000001000000}" name="Dĺžka stúpania (mm)" dataDxfId="7"/>
    <tableColumn id="2" xr3:uid="{00000000-0010-0000-0700-000002000000}" name="Dĺžka zápletu (m)" dataDxfId="6">
      <calculatedColumnFormula>N3*5/1000</calculatedColumnFormula>
    </tableColumn>
    <tableColumn id="3" xr3:uid="{00000000-0010-0000-0700-000003000000}" name="velkost oka  1   (m)           " dataDxfId="5"/>
    <tableColumn id="4" xr3:uid="{00000000-0010-0000-0700-000004000000}" name="velkost oka  2   (m)           " dataDxfId="4"/>
    <tableColumn id="5" xr3:uid="{00000000-0010-0000-0700-000005000000}" name="finálna dĺžka    (m)" dataDxfId="3"/>
    <tableColumn id="6" xr3:uid="{00000000-0010-0000-0700-000006000000}" name="rezná dĺžka sling               (m)" dataDxfId="2">
      <calculatedColumnFormula>ROUNDUP(IF(Tabuľka2[[#This Row],[velkost oka  2   (m)           ]]&gt;0,Tabuľka2[[#This Row],[Dĺžka zápletu (m)]]+0.25,0)+IF(Tabuľka2[[#This Row],[velkost oka  1   (m)           ]]&gt;0,Tabuľka2[[#This Row],[Dĺžka zápletu (m)]]+0.25,0)+Tabuľka2[[#This Row],[velkost oka  1   (m)           ]]+Tabuľka2[[#This Row],[velkost oka  2   (m)           ]]+Tabuľka2[[#This Row],[finálna dĺžka    (m)]]+2,0)</calculatedColumnFormula>
    </tableColumn>
    <tableColumn id="7" xr3:uid="{00000000-0010-0000-0700-000007000000}" name="rezná dĺžka grommet         (m) " dataDxfId="1">
      <calculatedColumnFormula>ROUNDUP(IF(Tabuľka2[finálna dĺžka    (m)]&gt;0,Tabuľka2[Dĺžka zápletu (m)]*2+Tabuľka2[finálna dĺžka    (m)]*2,0)+2,0)</calculatedColumnFormula>
    </tableColumn>
    <tableColumn id="8" xr3:uid="{00000000-0010-0000-0700-000008000000}" name="rezná dĺžka multisling        (m) " dataDxfId="0">
      <calculatedColumnFormula>ROUNDUP(IF(Tabuľka2[finálna dĺžka    (m)]&gt;0,Tabuľka2[Dĺžka zápletu (m)]*2+Tabuľka2[finálna dĺžka    (m)]*4,0)+2,0)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17"/>
  <sheetViews>
    <sheetView tabSelected="1" workbookViewId="0">
      <selection activeCell="H6" sqref="H6"/>
    </sheetView>
  </sheetViews>
  <sheetFormatPr defaultColWidth="9.140625" defaultRowHeight="15" x14ac:dyDescent="0.25"/>
  <cols>
    <col min="1" max="1" width="30.85546875" style="24" customWidth="1"/>
    <col min="2" max="2" width="7.7109375" style="24" customWidth="1"/>
    <col min="3" max="3" width="12" style="24" customWidth="1"/>
    <col min="4" max="4" width="7" style="24" customWidth="1"/>
    <col min="5" max="5" width="6.5703125" style="24" customWidth="1"/>
    <col min="6" max="6" width="12.42578125" style="24" customWidth="1"/>
    <col min="7" max="7" width="1.140625" style="24" customWidth="1"/>
    <col min="8" max="9" width="12.42578125" style="24" customWidth="1"/>
    <col min="10" max="10" width="7.140625" style="24" hidden="1" customWidth="1"/>
    <col min="11" max="11" width="10.140625" style="24" hidden="1" customWidth="1"/>
    <col min="12" max="12" width="8.7109375" style="24" hidden="1" customWidth="1"/>
    <col min="13" max="13" width="10.28515625" style="24" customWidth="1"/>
    <col min="14" max="14" width="9.7109375" style="24" customWidth="1"/>
    <col min="15" max="15" width="1.85546875" style="24" customWidth="1"/>
    <col min="16" max="16" width="9.140625" style="24" customWidth="1"/>
    <col min="17" max="17" width="10.140625" style="24" customWidth="1"/>
    <col min="18" max="18" width="7.28515625" style="24" customWidth="1"/>
    <col min="19" max="19" width="7.7109375" style="24" customWidth="1"/>
    <col min="20" max="20" width="6.85546875" style="24" customWidth="1"/>
    <col min="21" max="21" width="9.42578125" style="24" customWidth="1"/>
    <col min="22" max="22" width="8.42578125" style="24" customWidth="1"/>
    <col min="23" max="16384" width="9.140625" style="24"/>
  </cols>
  <sheetData>
    <row r="1" spans="1:22" ht="18" customHeight="1" x14ac:dyDescent="0.25">
      <c r="G1" s="103"/>
      <c r="P1" s="104" t="s">
        <v>0</v>
      </c>
      <c r="Q1" s="105"/>
      <c r="R1" s="119"/>
      <c r="S1" s="105"/>
      <c r="T1" s="105"/>
      <c r="U1" s="119"/>
      <c r="V1" s="119"/>
    </row>
    <row r="2" spans="1:22" ht="42" customHeight="1" x14ac:dyDescent="0.25">
      <c r="A2" s="113" t="s">
        <v>1</v>
      </c>
      <c r="B2" s="106" t="s">
        <v>2</v>
      </c>
      <c r="C2" s="50" t="s">
        <v>3</v>
      </c>
      <c r="D2" s="71" t="s">
        <v>4</v>
      </c>
      <c r="E2" s="71" t="s">
        <v>5</v>
      </c>
      <c r="F2" s="116" t="s">
        <v>6</v>
      </c>
      <c r="G2" s="103" t="s">
        <v>7</v>
      </c>
      <c r="H2" s="107" t="s">
        <v>8</v>
      </c>
      <c r="I2" s="100" t="s">
        <v>9</v>
      </c>
      <c r="J2" s="116" t="s">
        <v>10</v>
      </c>
      <c r="K2" s="116" t="s">
        <v>11</v>
      </c>
      <c r="L2" s="116" t="s">
        <v>12</v>
      </c>
      <c r="M2" s="116" t="s">
        <v>13</v>
      </c>
      <c r="N2" s="117" t="s">
        <v>14</v>
      </c>
      <c r="P2" s="108" t="s">
        <v>15</v>
      </c>
      <c r="Q2" s="108" t="s">
        <v>16</v>
      </c>
      <c r="R2" s="120" t="s">
        <v>17</v>
      </c>
      <c r="S2" s="109" t="s">
        <v>18</v>
      </c>
      <c r="T2" s="109" t="s">
        <v>19</v>
      </c>
      <c r="U2" s="120" t="s">
        <v>20</v>
      </c>
      <c r="V2" s="120" t="s">
        <v>21</v>
      </c>
    </row>
    <row r="3" spans="1:22" ht="17.25" hidden="1" customHeight="1" x14ac:dyDescent="0.25">
      <c r="A3" s="114" t="s">
        <v>22</v>
      </c>
      <c r="B3" s="101">
        <v>44</v>
      </c>
      <c r="C3" s="101">
        <v>150</v>
      </c>
      <c r="D3" s="101">
        <v>1.8</v>
      </c>
      <c r="E3" s="101">
        <v>1.8</v>
      </c>
      <c r="F3" s="102">
        <f>ROUND(C3-IF(D3&gt;0,D3+(J3/1000),0)-IF(E3&gt;0,E3+(J3/1000),0),0)</f>
        <v>145</v>
      </c>
      <c r="G3" s="103"/>
      <c r="H3" s="101">
        <v>16</v>
      </c>
      <c r="I3" s="102">
        <f>ROUND(H3+IF(D3&gt;0,D3+(J3/1000),0)+IF(E3&gt;0,E3+(J3/1000),0),0)</f>
        <v>21</v>
      </c>
      <c r="J3" s="102">
        <f>VLOOKUP(B3,TSM_TSS!A:F,6,FALSE)</f>
        <v>550</v>
      </c>
      <c r="K3" s="102">
        <f>ROUND(C3+IF(D3&gt;0,D3+(J3/1000),0)+IF(E3&gt;0,E3+(J3/1000),0),0)</f>
        <v>155</v>
      </c>
      <c r="L3" s="102">
        <f>ROUND(C3-IF(D3&gt;0,D3+(J3/1000),0)-IF(E3&gt;0,E3+(J3/1000),0),0)</f>
        <v>145</v>
      </c>
      <c r="M3" s="102"/>
      <c r="N3" s="102"/>
      <c r="P3" s="110">
        <v>307</v>
      </c>
      <c r="Q3" s="110">
        <v>220</v>
      </c>
      <c r="R3" s="121">
        <f>(P3/2)*5/1000</f>
        <v>0.76749999999999996</v>
      </c>
      <c r="S3" s="110">
        <v>1.8</v>
      </c>
      <c r="T3" s="110">
        <v>1.8</v>
      </c>
      <c r="U3" s="121">
        <f>ROUNDUP(IF(S3&gt;0,S3+R3,0)+IF(T3&gt;0,T3+R3,0)+Q3,0)</f>
        <v>226</v>
      </c>
      <c r="V3" s="121">
        <f>ROUNDDOWN(Q3-IF(S3&gt;0,S3+R3)-IF(T3&gt;0,T3+R3),0)</f>
        <v>214</v>
      </c>
    </row>
    <row r="4" spans="1:22" ht="17.25" hidden="1" customHeight="1" x14ac:dyDescent="0.25">
      <c r="A4" s="115" t="s">
        <v>23</v>
      </c>
      <c r="B4" s="47">
        <v>58</v>
      </c>
      <c r="C4" s="47">
        <v>22</v>
      </c>
      <c r="D4" s="47">
        <v>1.8</v>
      </c>
      <c r="E4" s="47">
        <v>1.8</v>
      </c>
      <c r="F4" s="91">
        <f>ROUND(C4-IF(D4&gt;0,D4+(J4/1000),0)-IF(E4&gt;0,E4+(J4/1000),0),0)</f>
        <v>18</v>
      </c>
      <c r="G4" s="103"/>
      <c r="H4" s="111">
        <v>22</v>
      </c>
      <c r="I4" s="118">
        <f>ROUND(H4+IF(D4&gt;0,D4+(J4/1000),0)+IF(E4&gt;0,E4+(J4/1000),0),0)</f>
        <v>26</v>
      </c>
      <c r="J4" s="91">
        <f>VLOOKUP(B4,TSM_TSS!A1:F47,4,FALSE)</f>
        <v>1.1196521724000001</v>
      </c>
      <c r="K4" s="118">
        <f>ROUND(C4+IF(D4&gt;0,D4+(J4/1000),0)+IF(E4&gt;0,E4+(J4/1000),0),0)</f>
        <v>26</v>
      </c>
      <c r="L4" s="91">
        <f>ROUND(C4-IF(D4&gt;0,D4+(J4/1000),0)-IF(E4&gt;0,E4+(J4/1000),0),0)</f>
        <v>18</v>
      </c>
      <c r="M4" s="91"/>
      <c r="N4" s="91"/>
      <c r="P4" s="47">
        <v>565</v>
      </c>
      <c r="Q4" s="112">
        <v>220</v>
      </c>
      <c r="R4" s="122">
        <f>(P4/6)*18/1000</f>
        <v>1.6950000000000001</v>
      </c>
      <c r="S4" s="112">
        <v>1.8</v>
      </c>
      <c r="T4" s="112">
        <v>1.8</v>
      </c>
      <c r="U4" s="123">
        <f>ROUNDUP(IF(S4&gt;0,S4+R4,0)+IF(T4&gt;0,T4+R4,0)+Q4,0)</f>
        <v>227</v>
      </c>
      <c r="V4" s="123">
        <f>ROUNDDOWN(Q4-IF(S4&gt;0,S4+R4)-IF(T4&gt;0,T4+R4),0)</f>
        <v>213</v>
      </c>
    </row>
    <row r="5" spans="1:22" ht="17.25" hidden="1" customHeight="1" x14ac:dyDescent="0.25">
      <c r="A5" s="114" t="s">
        <v>24</v>
      </c>
      <c r="B5" s="101">
        <v>37</v>
      </c>
      <c r="C5" s="101">
        <v>85</v>
      </c>
      <c r="D5" s="101">
        <v>1.8</v>
      </c>
      <c r="E5" s="101">
        <v>1.8</v>
      </c>
      <c r="F5" s="102">
        <f>ROUNDDOWN(C5-IF(D5&gt;0,D5+J5,0)-IF(E5&gt;0,E5+J5,0),0)</f>
        <v>78</v>
      </c>
      <c r="G5" s="103"/>
      <c r="H5" s="101">
        <v>100</v>
      </c>
      <c r="I5" s="102">
        <f>ROUNDUP(H5+IF(D5&gt;0,D5+J5,0)+IF(E5&gt;0,E5+J5,0),0)</f>
        <v>107</v>
      </c>
      <c r="J5" s="102">
        <f>VLOOKUP(B5,'Acera Amundsen 7G'!A3:C135,3,FALSE)</f>
        <v>1.665</v>
      </c>
      <c r="K5" s="102">
        <f>ROUNDUP(C5+IF(D5&gt;0,D5+J5,0)+IF(E5&gt;0,E5+J5,0),0)</f>
        <v>92</v>
      </c>
      <c r="L5" s="102">
        <f>ROUNDDOWN(C5-IF(D5&gt;0,D5+J5,0)-IF(E5&gt;0,E5+J5,0),0)</f>
        <v>78</v>
      </c>
      <c r="M5" s="102">
        <f>ROUNDUP(Tabuľka8[[#This Row],[požadovaná FINÁLNA dĺžka]]*2+(2*J5+1),0)</f>
        <v>205</v>
      </c>
      <c r="N5" s="102">
        <f>ROUNDUP(Tabuľka8[[#This Row],[požadovaná FINÁLNA dĺžka]]*4+(2*J5+1.5),0)</f>
        <v>405</v>
      </c>
      <c r="P5" s="110">
        <v>330</v>
      </c>
      <c r="Q5" s="110">
        <v>220</v>
      </c>
      <c r="R5" s="121">
        <f>P5/6*28/1000</f>
        <v>1.54</v>
      </c>
      <c r="S5" s="110">
        <v>1.8</v>
      </c>
      <c r="T5" s="110">
        <v>1.8</v>
      </c>
      <c r="U5" s="121">
        <f>ROUNDUP(Q5+IF(S5&gt;0,S5+R5,0)+IF(T5&gt;0,T5+R5,0),0)</f>
        <v>227</v>
      </c>
      <c r="V5" s="121">
        <f>ROUNDDOWN(Q5-IF(S5&gt;0,S5+R5,0)-IF(T5&gt;0,T5+R5,0),0)</f>
        <v>213</v>
      </c>
    </row>
    <row r="6" spans="1:22" ht="17.25" customHeight="1" x14ac:dyDescent="0.25">
      <c r="A6" s="115" t="s">
        <v>25</v>
      </c>
      <c r="B6" s="47">
        <v>24</v>
      </c>
      <c r="C6" s="47">
        <v>120</v>
      </c>
      <c r="D6" s="47">
        <v>0.2</v>
      </c>
      <c r="E6" s="47">
        <v>0.2</v>
      </c>
      <c r="F6" s="91">
        <f>ROUNDDOWN(C6-IF(D6&gt;0,D6+J6,0)-IF(E6&gt;0,E6+J6,0),0)</f>
        <v>116</v>
      </c>
      <c r="G6" s="103"/>
      <c r="H6" s="111">
        <v>9.5</v>
      </c>
      <c r="I6" s="118">
        <f>ROUNDUP(H6+IF(D6&gt;0,D6+J6,0)+IF(E6&gt;0,E6+J6,0),0)</f>
        <v>13</v>
      </c>
      <c r="J6" s="91">
        <f>VLOOKUP(B6,'Acera daGama 7G'!A3:C138,3,FALSE)</f>
        <v>1.3607712000000001</v>
      </c>
      <c r="K6" s="118">
        <f>ROUNDUP(C6+IF(D6&gt;0,D6+J6,0)+IF(E6&gt;0,E6+J6,0),0)</f>
        <v>124</v>
      </c>
      <c r="L6" s="91">
        <f>ROUNDDOWN(C6-IF(D6&gt;0,D6+J6,0)-IF(E6&gt;0,E6+J6,0),0)</f>
        <v>116</v>
      </c>
      <c r="M6" s="91">
        <f>ROUNDUP(Tabuľka8[[#This Row],[požadovaná FINÁLNA dĺžka]]*2+(2*J6+1),0)</f>
        <v>23</v>
      </c>
      <c r="N6" s="91">
        <f>ROUNDUP(Tabuľka8[[#This Row],[požadovaná FINÁLNA dĺžka]]*4+(2*J6+1.5),0)</f>
        <v>43</v>
      </c>
      <c r="P6" s="47">
        <v>300</v>
      </c>
      <c r="Q6" s="112">
        <v>220</v>
      </c>
      <c r="R6" s="122">
        <f>P6/6*28/1000</f>
        <v>1.4</v>
      </c>
      <c r="S6" s="112">
        <v>1.8</v>
      </c>
      <c r="T6" s="112">
        <v>1.8</v>
      </c>
      <c r="U6" s="123">
        <f>ROUNDUP(Q6+IF(S6&gt;0,S6+R6,0)+IF(T6&gt;0,T6+R6,0),0)</f>
        <v>227</v>
      </c>
      <c r="V6" s="123">
        <f>ROUNDDOWN(Q6-IF(S6&gt;0,S6+R6,0)-IF(T6&gt;0,T6+R6,0),0)</f>
        <v>213</v>
      </c>
    </row>
    <row r="7" spans="1:22" ht="17.25" hidden="1" customHeight="1" x14ac:dyDescent="0.25">
      <c r="A7" s="114" t="s">
        <v>26</v>
      </c>
      <c r="B7" s="101">
        <v>88</v>
      </c>
      <c r="C7" s="101">
        <v>120</v>
      </c>
      <c r="D7" s="101">
        <v>1</v>
      </c>
      <c r="E7" s="101">
        <v>1</v>
      </c>
      <c r="F7" s="102">
        <f>ROUNDDOWN(C7-IF(D7&gt;0,D7+J7+0.7,0)-IF(E7&gt;0,E7+J7+0.7,0),0)</f>
        <v>109</v>
      </c>
      <c r="G7" s="103"/>
      <c r="H7" s="101">
        <v>120</v>
      </c>
      <c r="I7" s="102">
        <f>ROUNDUP(H7+IF(D7&gt;0,D7+J7+0.7,0)+IF(E7&gt;0,E7+J7+0.7,0),0)</f>
        <v>131</v>
      </c>
      <c r="J7" s="102">
        <f>VLOOKUP(B7,'Acera Nansen'!A3:I24,3,FALSE)</f>
        <v>3.4649999999999999</v>
      </c>
      <c r="K7" s="102">
        <f>ROUNDUP(C7+IF(D7&gt;0,D7+J7+0.7,0)+IF(E7&gt;0,E7+J7+0.7,0),0)</f>
        <v>131</v>
      </c>
      <c r="L7" s="102">
        <f>ROUNDDOWN(C7-IF(D7&gt;0,D7+J7+0.7,0)-IF(E7&gt;0,E7+J7+0.7,0),0)</f>
        <v>109</v>
      </c>
      <c r="M7" s="102">
        <f>ROUNDUP(Tabuľka8[[#This Row],[požadovaná FINÁLNA dĺžka]]*2+(2*J7+1),0)</f>
        <v>248</v>
      </c>
      <c r="N7" s="102">
        <f>ROUNDUP(Tabuľka8[[#This Row],[požadovaná FINÁLNA dĺžka]]*4+(2*J7+1.5),0)</f>
        <v>489</v>
      </c>
      <c r="P7" s="110">
        <v>550</v>
      </c>
      <c r="Q7" s="110">
        <v>20</v>
      </c>
      <c r="R7" s="121">
        <f>P7/2*10/1000+0.5</f>
        <v>3.25</v>
      </c>
      <c r="S7" s="110">
        <v>1.8</v>
      </c>
      <c r="T7" s="110">
        <v>1.8</v>
      </c>
      <c r="U7" s="121">
        <f>ROUNDUP(Q7+IF(S7&gt;0,S7+R7+0.7,0)+IF(T7&gt;0,T7+R7+0.7,0),0)</f>
        <v>32</v>
      </c>
      <c r="V7" s="121">
        <f>ROUNDDOWN(Q7-IF(S7&gt;0,S7+R7,0)-IF(T7&gt;0,T7+R7,0),0)</f>
        <v>9</v>
      </c>
    </row>
    <row r="8" spans="1:22" ht="17.25" hidden="1" customHeight="1" x14ac:dyDescent="0.25">
      <c r="A8" s="115" t="s">
        <v>27</v>
      </c>
      <c r="B8" s="47">
        <v>48</v>
      </c>
      <c r="C8" s="47">
        <v>120</v>
      </c>
      <c r="D8" s="47">
        <v>1.8</v>
      </c>
      <c r="E8" s="47">
        <v>1.8</v>
      </c>
      <c r="F8" s="91">
        <f>ROUNDDOWN(C8-IF(D8&gt;0,D8+(J8/1000),0)-IF(E8&gt;0,E8+(J8/1000),0),0)</f>
        <v>115</v>
      </c>
      <c r="G8" s="103"/>
      <c r="H8" s="111">
        <v>120</v>
      </c>
      <c r="I8" s="118">
        <f>ROUNDUP(H8+IF(D8&gt;0,D8+(J8/1000),0)+IF(E8&gt;0,E8+(J8/1000),0),0)</f>
        <v>125</v>
      </c>
      <c r="J8" s="91">
        <f>VLOOKUP(B8,PES_PA!D:F,3,FALSE)</f>
        <v>462.5</v>
      </c>
      <c r="K8" s="118">
        <f>ROUNDUP(C8+IF(D8&gt;0,D8+(J8/1000),0)+IF(E8&gt;0,E8+(J8/1000),0),0)</f>
        <v>125</v>
      </c>
      <c r="L8" s="91">
        <f>ROUNDDOWN(C8-IF(D8&gt;0,D8+(J8/1000),0)-IF(E8&gt;0,E8+(J8/1000),0),0)</f>
        <v>115</v>
      </c>
      <c r="M8" s="91"/>
      <c r="N8" s="91"/>
      <c r="P8" s="47">
        <v>255</v>
      </c>
      <c r="Q8" s="112">
        <v>195</v>
      </c>
      <c r="R8" s="122">
        <f>(P8/2)*5/1000</f>
        <v>0.63749999999999996</v>
      </c>
      <c r="S8" s="112">
        <v>1.8</v>
      </c>
      <c r="T8" s="112">
        <v>1.8</v>
      </c>
      <c r="U8" s="123">
        <f>ROUNDUP(IF(S8&gt;0,S8+R8,0)+IF(T8&gt;0,T8+R8,0)+Q8,0)</f>
        <v>200</v>
      </c>
      <c r="V8" s="123">
        <f>ROUNDDOWN(Q8-IF(S8&gt;0,S8+R8)-IF(T8&gt;0,T8+R8),0)</f>
        <v>190</v>
      </c>
    </row>
    <row r="9" spans="1:22" ht="17.25" hidden="1" customHeight="1" x14ac:dyDescent="0.25">
      <c r="A9" s="114" t="s">
        <v>28</v>
      </c>
      <c r="B9" s="101">
        <v>24</v>
      </c>
      <c r="C9" s="101">
        <v>120</v>
      </c>
      <c r="D9" s="101">
        <v>1</v>
      </c>
      <c r="E9" s="101">
        <v>1</v>
      </c>
      <c r="F9" s="102">
        <f>ROUNDDOWN(C9-IF(D9&gt;0,D9+(J9/1000),0)-IF(E9&gt;0,E9+(J9/1000),0),0)</f>
        <v>117</v>
      </c>
      <c r="G9" s="103"/>
      <c r="H9" s="101">
        <v>120</v>
      </c>
      <c r="I9" s="102">
        <f>ROUNDUP(H9+IF(D9&gt;0,D9+(J9/1000),0)+IF(E9&gt;0,E9+(J9/1000),0),0)</f>
        <v>123</v>
      </c>
      <c r="J9" s="102">
        <f>VLOOKUP(B9,PES_PA!A:C,3,FALSE)</f>
        <v>0.45600000000000002</v>
      </c>
      <c r="K9" s="102">
        <f>ROUNDUP(C9+IF(D9&gt;0,D9+(J9/1000),0)+IF(E9&gt;0,E9+(J9/1000),0),0)</f>
        <v>123</v>
      </c>
      <c r="L9" s="102">
        <f>ROUNDDOWN(C9-IF(D9&gt;0,D9+(J9/1000),0)-IF(E9&gt;0,E9+(J9/1000),0),0)</f>
        <v>117</v>
      </c>
      <c r="M9" s="102"/>
      <c r="N9" s="102"/>
      <c r="P9" s="110">
        <v>256</v>
      </c>
      <c r="Q9" s="110">
        <v>220</v>
      </c>
      <c r="R9" s="121">
        <f>(P9/6)*18/1000</f>
        <v>0.76800000000000002</v>
      </c>
      <c r="S9" s="110">
        <v>1.8</v>
      </c>
      <c r="T9" s="110">
        <v>1.8</v>
      </c>
      <c r="U9" s="121">
        <f>ROUNDUP(IF(S9&gt;0,S9+R9,0)+IF(T9&gt;0,T9+R9,0)+Q9,0)</f>
        <v>226</v>
      </c>
      <c r="V9" s="121">
        <f>ROUNDDOWN(Q9-IF(S9&gt;0,S9+R9)-IF(T9&gt;0,T9+R9),0)</f>
        <v>214</v>
      </c>
    </row>
    <row r="10" spans="1:22" ht="17.25" hidden="1" customHeight="1" x14ac:dyDescent="0.25">
      <c r="A10" s="115" t="s">
        <v>29</v>
      </c>
      <c r="B10" s="47">
        <v>70</v>
      </c>
      <c r="C10" s="47">
        <v>200</v>
      </c>
      <c r="D10" s="47">
        <v>1.8</v>
      </c>
      <c r="E10" s="47">
        <v>1.8</v>
      </c>
      <c r="F10" s="91">
        <f>ROUNDDOWN(C10-IF(D10&gt;0,D10+J10,0)-IF(E10&gt;0,E10+J10,0),0)</f>
        <v>188</v>
      </c>
      <c r="G10" s="103"/>
      <c r="H10" s="111">
        <v>120</v>
      </c>
      <c r="I10" s="118">
        <f>ROUNDUP(H10+IF(D10&gt;0,D10+J10,0)+IF(E10&gt;0,E10+J10,0),0)</f>
        <v>132</v>
      </c>
      <c r="J10" s="91">
        <f>VLOOKUP(B10,Hárok3!B2:C3,2,FALSE)</f>
        <v>3.7470588235293736</v>
      </c>
      <c r="K10" s="118">
        <f>ROUNDUP(C10+IF(D10&gt;0,D10+J10,0)+IF(E10&gt;0,E10+J10,0),0)</f>
        <v>212</v>
      </c>
      <c r="L10" s="91">
        <f>ROUNDDOWN(C10-IF(D10&gt;0,D10+J10,0)-IF(E10&gt;0,E10+J10,0),0)</f>
        <v>188</v>
      </c>
      <c r="M10" s="91"/>
      <c r="N10" s="91"/>
    </row>
    <row r="11" spans="1:22" ht="17.25" hidden="1" customHeight="1" x14ac:dyDescent="0.25">
      <c r="A11" s="114" t="s">
        <v>30</v>
      </c>
      <c r="B11" s="101">
        <v>76</v>
      </c>
      <c r="C11" s="101">
        <v>120</v>
      </c>
      <c r="D11" s="101">
        <v>1.8</v>
      </c>
      <c r="E11" s="101">
        <v>1.8</v>
      </c>
      <c r="F11" s="102">
        <f>ROUNDDOWN(C11-IF(D11&gt;0,D11+J11,0)-IF(E11&gt;0,E11+J11,0),0)</f>
        <v>106</v>
      </c>
      <c r="G11" s="103"/>
      <c r="H11" s="101">
        <v>200</v>
      </c>
      <c r="I11" s="102">
        <f>ROUNDUP(H11+IF(D11&gt;0,D11+J11,0)+IF(E11&gt;0,E11+J11,0),0)</f>
        <v>214</v>
      </c>
      <c r="J11" s="102">
        <f>VLOOKUP(B11,'Terraline Duodec'!A2:C200,3,FALSE)</f>
        <v>4.9011259999999996</v>
      </c>
      <c r="K11" s="102">
        <f>ROUNDUP(C11+IF(D11&gt;0,D11+J11,0)+IF(E11&gt;0,E11+J11,0),0)</f>
        <v>134</v>
      </c>
      <c r="L11" s="102">
        <f>ROUNDDOWN(C11-IF(D11&gt;0,D11+J11,0)-IF(E11&gt;0,E11+J11,0),0)</f>
        <v>106</v>
      </c>
      <c r="M11" s="102"/>
      <c r="N11" s="102"/>
    </row>
    <row r="12" spans="1:22" ht="17.25" hidden="1" customHeight="1" x14ac:dyDescent="0.25">
      <c r="A12" s="115" t="s">
        <v>31</v>
      </c>
      <c r="B12" s="47">
        <v>48</v>
      </c>
      <c r="C12" s="47">
        <v>16</v>
      </c>
      <c r="D12" s="47">
        <v>0.46</v>
      </c>
      <c r="E12" s="47">
        <v>0.46</v>
      </c>
      <c r="F12" s="91">
        <f>ROUNDDOWN(C12-IF(D12&gt;0,D12+J12,0)-IF(E12&gt;0,E12+J12,0),0)</f>
        <v>9</v>
      </c>
      <c r="G12" s="103"/>
      <c r="H12" s="111">
        <v>9</v>
      </c>
      <c r="I12" s="118">
        <f>ROUNDUP(H12+IF(D12&gt;0,D12+J12,0)+IF(E12&gt;0,E12+J12,0),0)</f>
        <v>16</v>
      </c>
      <c r="J12" s="91">
        <f>VLOOKUP(B12,'Terraline 12'!A2:C200,3,FALSE)</f>
        <v>2.7239942400000001</v>
      </c>
      <c r="K12" s="118">
        <f>ROUNDUP(C12+IF(D12&gt;0,D12+J12,0)+IF(E12&gt;0,E12+J12,0),0)</f>
        <v>23</v>
      </c>
      <c r="L12" s="91">
        <f>ROUNDDOWN(C12-IF(D12&gt;0,D12+J12,0)-IF(E12&gt;0,E12+J12,0),0)</f>
        <v>9</v>
      </c>
      <c r="M12" s="91"/>
      <c r="N12" s="91"/>
    </row>
    <row r="17" spans="1:1" x14ac:dyDescent="0.25">
      <c r="A17" s="24" t="s">
        <v>32</v>
      </c>
    </row>
  </sheetData>
  <sheetProtection sheet="1" formatCells="0" formatColumns="0" formatRows="0" insertColumns="0" insertRows="0" insertHyperlinks="0" deleteColumns="0" deleteRows="0" selectLockedCells="1" sort="0" autoFilter="0" pivotTables="0"/>
  <autoFilter ref="A2:A12" xr:uid="{00000000-0009-0000-0000-000000000000}">
    <filterColumn colId="0">
      <filters>
        <filter val="Acera daGama"/>
      </filters>
    </filterColumn>
  </autoFilter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8"/>
  <sheetViews>
    <sheetView workbookViewId="0">
      <pane ySplit="2" topLeftCell="A8" activePane="bottomLeft" state="frozen"/>
      <selection activeCell="A2" sqref="A2"/>
      <selection pane="bottomLeft" activeCell="B20" sqref="B20"/>
    </sheetView>
  </sheetViews>
  <sheetFormatPr defaultRowHeight="15" x14ac:dyDescent="0.25"/>
  <cols>
    <col min="2" max="2" width="9.140625" style="60"/>
    <col min="3" max="3" width="9.140625" style="65"/>
  </cols>
  <sheetData>
    <row r="1" spans="1:3" ht="26.25" x14ac:dyDescent="0.4">
      <c r="A1" s="130" t="s">
        <v>56</v>
      </c>
      <c r="B1" s="131"/>
      <c r="C1" s="131"/>
    </row>
    <row r="2" spans="1:3" ht="42" customHeight="1" x14ac:dyDescent="0.25">
      <c r="A2" s="4" t="s">
        <v>33</v>
      </c>
      <c r="B2" s="61" t="s">
        <v>34</v>
      </c>
      <c r="C2" s="5" t="s">
        <v>35</v>
      </c>
    </row>
    <row r="3" spans="1:3" x14ac:dyDescent="0.25">
      <c r="A3" s="59">
        <v>14</v>
      </c>
      <c r="B3" s="62"/>
      <c r="C3" s="8">
        <v>0.72</v>
      </c>
    </row>
    <row r="4" spans="1:3" x14ac:dyDescent="0.25">
      <c r="A4">
        <v>16</v>
      </c>
      <c r="B4" s="62">
        <v>115.73333333333319</v>
      </c>
      <c r="C4" s="8">
        <v>0.72</v>
      </c>
    </row>
    <row r="5" spans="1:3" x14ac:dyDescent="0.25">
      <c r="A5">
        <v>17</v>
      </c>
      <c r="B5" s="62">
        <v>122.96666666666651</v>
      </c>
      <c r="C5" s="8">
        <v>0.76500000000000001</v>
      </c>
    </row>
    <row r="6" spans="1:3" x14ac:dyDescent="0.25">
      <c r="A6">
        <v>18</v>
      </c>
      <c r="B6" s="62">
        <v>130.19999999999985</v>
      </c>
      <c r="C6" s="8">
        <v>0.81</v>
      </c>
    </row>
    <row r="7" spans="1:3" x14ac:dyDescent="0.25">
      <c r="A7">
        <v>19</v>
      </c>
      <c r="B7" s="62">
        <v>137.43333333333317</v>
      </c>
      <c r="C7" s="8">
        <v>0.85499999999999998</v>
      </c>
    </row>
    <row r="8" spans="1:3" x14ac:dyDescent="0.25">
      <c r="A8">
        <v>20</v>
      </c>
      <c r="B8" s="62">
        <v>144.66666666666649</v>
      </c>
      <c r="C8" s="8">
        <v>0.9</v>
      </c>
    </row>
    <row r="9" spans="1:3" x14ac:dyDescent="0.25">
      <c r="A9">
        <v>21</v>
      </c>
      <c r="B9" s="62">
        <v>151.89999999999981</v>
      </c>
      <c r="C9" s="8">
        <v>0.94499999999999995</v>
      </c>
    </row>
    <row r="10" spans="1:3" x14ac:dyDescent="0.25">
      <c r="A10">
        <v>22</v>
      </c>
      <c r="B10" s="62">
        <v>159.13333333333316</v>
      </c>
      <c r="C10" s="8">
        <v>0.99</v>
      </c>
    </row>
    <row r="11" spans="1:3" x14ac:dyDescent="0.25">
      <c r="A11">
        <v>23</v>
      </c>
      <c r="B11" s="62">
        <v>166.36666666666648</v>
      </c>
      <c r="C11" s="8">
        <v>1.0349999999999999</v>
      </c>
    </row>
    <row r="12" spans="1:3" x14ac:dyDescent="0.25">
      <c r="A12">
        <v>24</v>
      </c>
      <c r="B12" s="62">
        <v>173.5999999999998</v>
      </c>
      <c r="C12" s="8">
        <v>1.08</v>
      </c>
    </row>
    <row r="13" spans="1:3" x14ac:dyDescent="0.25">
      <c r="A13">
        <v>25</v>
      </c>
      <c r="B13" s="62">
        <v>180.83333333333312</v>
      </c>
      <c r="C13" s="8">
        <v>1.125</v>
      </c>
    </row>
    <row r="14" spans="1:3" x14ac:dyDescent="0.25">
      <c r="A14">
        <v>26</v>
      </c>
      <c r="B14" s="62">
        <v>188.06666666666644</v>
      </c>
      <c r="C14" s="8">
        <v>1.17</v>
      </c>
    </row>
    <row r="15" spans="1:3" x14ac:dyDescent="0.25">
      <c r="A15">
        <v>27</v>
      </c>
      <c r="B15" s="62">
        <v>195.29999999999976</v>
      </c>
      <c r="C15" s="8">
        <v>1.2150000000000001</v>
      </c>
    </row>
    <row r="16" spans="1:3" x14ac:dyDescent="0.25">
      <c r="A16">
        <v>28</v>
      </c>
      <c r="B16" s="62">
        <v>202.5333333333331</v>
      </c>
      <c r="C16" s="8">
        <v>1.26</v>
      </c>
    </row>
    <row r="17" spans="1:3" x14ac:dyDescent="0.25">
      <c r="A17">
        <v>29</v>
      </c>
      <c r="B17" s="62">
        <v>209.76666666666642</v>
      </c>
      <c r="C17" s="8">
        <v>1.3049999999999999</v>
      </c>
    </row>
    <row r="18" spans="1:3" x14ac:dyDescent="0.25">
      <c r="A18">
        <v>30</v>
      </c>
      <c r="B18" s="62">
        <v>216.99999999999974</v>
      </c>
      <c r="C18" s="8">
        <v>1.35</v>
      </c>
    </row>
    <row r="19" spans="1:3" x14ac:dyDescent="0.25">
      <c r="A19">
        <v>31</v>
      </c>
      <c r="B19" s="62">
        <v>224.23333333333306</v>
      </c>
      <c r="C19" s="8">
        <v>1.395</v>
      </c>
    </row>
    <row r="20" spans="1:3" x14ac:dyDescent="0.25">
      <c r="A20">
        <v>32</v>
      </c>
      <c r="B20" s="62">
        <v>231.46666666666638</v>
      </c>
      <c r="C20" s="8">
        <v>1.44</v>
      </c>
    </row>
    <row r="21" spans="1:3" x14ac:dyDescent="0.25">
      <c r="A21">
        <v>33</v>
      </c>
      <c r="B21" s="62">
        <v>238.6999999999997</v>
      </c>
      <c r="C21" s="8">
        <v>1.4850000000000001</v>
      </c>
    </row>
    <row r="22" spans="1:3" x14ac:dyDescent="0.25">
      <c r="A22">
        <v>34</v>
      </c>
      <c r="B22" s="62">
        <v>245.93333333333302</v>
      </c>
      <c r="C22" s="8">
        <v>1.53</v>
      </c>
    </row>
    <row r="23" spans="1:3" x14ac:dyDescent="0.25">
      <c r="A23">
        <v>35</v>
      </c>
      <c r="B23" s="62">
        <v>253.16666666666637</v>
      </c>
      <c r="C23" s="8">
        <v>1.575</v>
      </c>
    </row>
    <row r="24" spans="1:3" x14ac:dyDescent="0.25">
      <c r="A24">
        <v>36</v>
      </c>
      <c r="B24" s="62">
        <v>260.39999999999969</v>
      </c>
      <c r="C24" s="8">
        <v>1.62</v>
      </c>
    </row>
    <row r="25" spans="1:3" x14ac:dyDescent="0.25">
      <c r="A25">
        <v>37</v>
      </c>
      <c r="B25" s="62">
        <v>267.63333333333298</v>
      </c>
      <c r="C25" s="8">
        <v>1.665</v>
      </c>
    </row>
    <row r="26" spans="1:3" x14ac:dyDescent="0.25">
      <c r="A26">
        <v>38</v>
      </c>
      <c r="B26" s="62">
        <v>274.86666666666633</v>
      </c>
      <c r="C26" s="8">
        <v>1.71</v>
      </c>
    </row>
    <row r="27" spans="1:3" x14ac:dyDescent="0.25">
      <c r="A27">
        <v>39</v>
      </c>
      <c r="B27" s="62">
        <v>282.09999999999968</v>
      </c>
      <c r="C27" s="8">
        <v>1.7549999999999999</v>
      </c>
    </row>
    <row r="28" spans="1:3" x14ac:dyDescent="0.25">
      <c r="A28">
        <v>40</v>
      </c>
      <c r="B28" s="62">
        <v>289.33333333333297</v>
      </c>
      <c r="C28" s="8">
        <v>1.8</v>
      </c>
    </row>
    <row r="29" spans="1:3" x14ac:dyDescent="0.25">
      <c r="A29">
        <v>41</v>
      </c>
      <c r="B29" s="62">
        <v>296.56666666666632</v>
      </c>
      <c r="C29" s="8">
        <v>1.845</v>
      </c>
    </row>
    <row r="30" spans="1:3" x14ac:dyDescent="0.25">
      <c r="A30">
        <v>42</v>
      </c>
      <c r="B30" s="62">
        <v>303.79999999999961</v>
      </c>
      <c r="C30" s="8">
        <v>1.89</v>
      </c>
    </row>
    <row r="31" spans="1:3" x14ac:dyDescent="0.25">
      <c r="A31">
        <v>43</v>
      </c>
      <c r="B31" s="62">
        <v>311.03333333333296</v>
      </c>
      <c r="C31" s="8">
        <v>1.9350000000000001</v>
      </c>
    </row>
    <row r="32" spans="1:3" x14ac:dyDescent="0.25">
      <c r="A32">
        <v>44</v>
      </c>
      <c r="B32" s="63">
        <v>318.26666666666631</v>
      </c>
      <c r="C32" s="8">
        <v>1.98</v>
      </c>
    </row>
    <row r="33" spans="1:3" x14ac:dyDescent="0.25">
      <c r="A33">
        <v>45</v>
      </c>
      <c r="B33" s="63">
        <v>325.4999999999996</v>
      </c>
      <c r="C33" s="64">
        <v>2.0249999999999999</v>
      </c>
    </row>
    <row r="34" spans="1:3" x14ac:dyDescent="0.25">
      <c r="A34">
        <v>46</v>
      </c>
      <c r="B34" s="63">
        <v>332.73333333333295</v>
      </c>
      <c r="C34" s="64">
        <v>2.0699999999999998</v>
      </c>
    </row>
    <row r="35" spans="1:3" x14ac:dyDescent="0.25">
      <c r="A35">
        <v>47</v>
      </c>
      <c r="B35" s="62">
        <v>339.96666666666624</v>
      </c>
      <c r="C35" s="8">
        <v>2.1150000000000002</v>
      </c>
    </row>
    <row r="36" spans="1:3" x14ac:dyDescent="0.25">
      <c r="A36">
        <v>48</v>
      </c>
      <c r="B36" s="62">
        <v>347.19999999999959</v>
      </c>
      <c r="C36" s="8">
        <v>2.16</v>
      </c>
    </row>
    <row r="37" spans="1:3" x14ac:dyDescent="0.25">
      <c r="A37">
        <v>49</v>
      </c>
      <c r="B37" s="62">
        <v>343.89804796000004</v>
      </c>
      <c r="C37" s="8">
        <v>2.2050000000000001</v>
      </c>
    </row>
    <row r="38" spans="1:3" x14ac:dyDescent="0.25">
      <c r="A38">
        <v>50</v>
      </c>
      <c r="B38" s="62">
        <v>350.52711521000003</v>
      </c>
      <c r="C38" s="8">
        <v>2.25</v>
      </c>
    </row>
    <row r="39" spans="1:3" x14ac:dyDescent="0.25">
      <c r="A39">
        <v>51</v>
      </c>
      <c r="B39" s="62">
        <v>357.15618246000003</v>
      </c>
      <c r="C39" s="8">
        <v>2.2949999999999999</v>
      </c>
    </row>
    <row r="40" spans="1:3" x14ac:dyDescent="0.25">
      <c r="A40">
        <v>52</v>
      </c>
      <c r="B40" s="62">
        <v>363.78524971000002</v>
      </c>
      <c r="C40" s="8">
        <v>2.34</v>
      </c>
    </row>
    <row r="41" spans="1:3" x14ac:dyDescent="0.25">
      <c r="A41">
        <v>53</v>
      </c>
      <c r="B41" s="62">
        <v>370.41431696000001</v>
      </c>
      <c r="C41" s="8">
        <v>2.3849999999999998</v>
      </c>
    </row>
    <row r="42" spans="1:3" x14ac:dyDescent="0.25">
      <c r="A42">
        <v>54</v>
      </c>
      <c r="B42" s="62">
        <v>377.04338421</v>
      </c>
      <c r="C42" s="8">
        <v>2.4300000000000002</v>
      </c>
    </row>
    <row r="43" spans="1:3" x14ac:dyDescent="0.25">
      <c r="A43">
        <v>55</v>
      </c>
      <c r="B43" s="62">
        <v>383.67245146000005</v>
      </c>
      <c r="C43" s="8">
        <v>2.4750000000000001</v>
      </c>
    </row>
    <row r="44" spans="1:3" x14ac:dyDescent="0.25">
      <c r="A44">
        <v>56</v>
      </c>
      <c r="B44" s="62">
        <v>390.30151871000004</v>
      </c>
      <c r="C44" s="8">
        <v>2.52</v>
      </c>
    </row>
    <row r="45" spans="1:3" x14ac:dyDescent="0.25">
      <c r="A45">
        <v>57</v>
      </c>
      <c r="B45" s="62">
        <v>396.93058596000003</v>
      </c>
      <c r="C45" s="8">
        <v>2.5649999999999999</v>
      </c>
    </row>
    <row r="46" spans="1:3" x14ac:dyDescent="0.25">
      <c r="A46">
        <v>58</v>
      </c>
      <c r="B46" s="62">
        <v>403.55965321000002</v>
      </c>
      <c r="C46" s="8">
        <v>2.61</v>
      </c>
    </row>
    <row r="47" spans="1:3" x14ac:dyDescent="0.25">
      <c r="A47">
        <v>59</v>
      </c>
      <c r="B47" s="62">
        <v>410.18872046000001</v>
      </c>
      <c r="C47" s="8">
        <v>2.6549999999999998</v>
      </c>
    </row>
    <row r="48" spans="1:3" x14ac:dyDescent="0.25">
      <c r="A48">
        <v>60</v>
      </c>
      <c r="B48" s="62">
        <v>416.81778771</v>
      </c>
      <c r="C48" s="8">
        <v>2.7</v>
      </c>
    </row>
    <row r="49" spans="1:3" x14ac:dyDescent="0.25">
      <c r="A49">
        <v>61</v>
      </c>
      <c r="B49" s="62">
        <v>423.44685496000005</v>
      </c>
      <c r="C49" s="8">
        <v>2.7450000000000001</v>
      </c>
    </row>
    <row r="50" spans="1:3" x14ac:dyDescent="0.25">
      <c r="A50">
        <v>62</v>
      </c>
      <c r="B50" s="62">
        <v>430.07592221000004</v>
      </c>
      <c r="C50" s="8">
        <v>2.79</v>
      </c>
    </row>
    <row r="51" spans="1:3" x14ac:dyDescent="0.25">
      <c r="A51">
        <v>63</v>
      </c>
      <c r="B51" s="62">
        <v>436.70498946000004</v>
      </c>
      <c r="C51" s="8">
        <v>2.835</v>
      </c>
    </row>
    <row r="52" spans="1:3" x14ac:dyDescent="0.25">
      <c r="A52">
        <v>64</v>
      </c>
      <c r="B52" s="62">
        <v>443.33405671000003</v>
      </c>
      <c r="C52" s="8">
        <v>2.88</v>
      </c>
    </row>
    <row r="53" spans="1:3" x14ac:dyDescent="0.25">
      <c r="A53">
        <v>65</v>
      </c>
      <c r="B53" s="62">
        <v>449.96312396000002</v>
      </c>
      <c r="C53" s="8">
        <v>2.9249999999999998</v>
      </c>
    </row>
    <row r="54" spans="1:3" x14ac:dyDescent="0.25">
      <c r="A54">
        <v>66</v>
      </c>
      <c r="B54" s="62">
        <v>456.59219121000001</v>
      </c>
      <c r="C54" s="8">
        <v>2.97</v>
      </c>
    </row>
    <row r="55" spans="1:3" x14ac:dyDescent="0.25">
      <c r="A55">
        <v>67</v>
      </c>
      <c r="B55" s="62">
        <v>463.22125846</v>
      </c>
      <c r="C55" s="8">
        <v>3.0150000000000001</v>
      </c>
    </row>
    <row r="56" spans="1:3" x14ac:dyDescent="0.25">
      <c r="A56">
        <v>68</v>
      </c>
      <c r="B56" s="62">
        <v>469.85032571000005</v>
      </c>
      <c r="C56" s="8">
        <v>3.06</v>
      </c>
    </row>
    <row r="57" spans="1:3" x14ac:dyDescent="0.25">
      <c r="A57">
        <v>69</v>
      </c>
      <c r="B57" s="62">
        <v>476.47939296000004</v>
      </c>
      <c r="C57" s="8">
        <v>3.105</v>
      </c>
    </row>
    <row r="58" spans="1:3" x14ac:dyDescent="0.25">
      <c r="A58">
        <v>70</v>
      </c>
      <c r="B58" s="62">
        <v>483.10846021000003</v>
      </c>
      <c r="C58" s="8">
        <v>3.15</v>
      </c>
    </row>
    <row r="59" spans="1:3" x14ac:dyDescent="0.25">
      <c r="A59">
        <v>71</v>
      </c>
      <c r="B59" s="62">
        <v>489.73752746000002</v>
      </c>
      <c r="C59" s="8">
        <v>3.1949999999999998</v>
      </c>
    </row>
    <row r="60" spans="1:3" x14ac:dyDescent="0.25">
      <c r="A60">
        <v>72</v>
      </c>
      <c r="B60" s="62">
        <v>496.36659471000002</v>
      </c>
      <c r="C60" s="8">
        <v>3.24</v>
      </c>
    </row>
    <row r="61" spans="1:3" x14ac:dyDescent="0.25">
      <c r="A61">
        <v>73</v>
      </c>
      <c r="B61" s="62">
        <v>502.99566196000001</v>
      </c>
      <c r="C61" s="8">
        <v>3.2850000000000001</v>
      </c>
    </row>
    <row r="62" spans="1:3" x14ac:dyDescent="0.25">
      <c r="A62">
        <v>74</v>
      </c>
      <c r="B62" s="62">
        <v>509.62472921000005</v>
      </c>
      <c r="C62" s="8">
        <v>3.33</v>
      </c>
    </row>
    <row r="63" spans="1:3" x14ac:dyDescent="0.25">
      <c r="A63">
        <v>75</v>
      </c>
      <c r="B63" s="62">
        <v>516.25379645999999</v>
      </c>
      <c r="C63" s="8">
        <v>3.375</v>
      </c>
    </row>
    <row r="64" spans="1:3" x14ac:dyDescent="0.25">
      <c r="A64">
        <v>76</v>
      </c>
      <c r="B64" s="62">
        <v>522.88286371000004</v>
      </c>
      <c r="C64" s="8">
        <v>3.42</v>
      </c>
    </row>
    <row r="65" spans="1:3" x14ac:dyDescent="0.25">
      <c r="A65">
        <v>77</v>
      </c>
      <c r="B65" s="62">
        <v>529.51193095999997</v>
      </c>
      <c r="C65" s="8">
        <v>3.4649999999999999</v>
      </c>
    </row>
    <row r="66" spans="1:3" x14ac:dyDescent="0.25">
      <c r="A66">
        <v>78</v>
      </c>
      <c r="B66" s="62">
        <v>536.14099821000002</v>
      </c>
      <c r="C66" s="8">
        <v>3.51</v>
      </c>
    </row>
    <row r="67" spans="1:3" x14ac:dyDescent="0.25">
      <c r="A67">
        <v>79</v>
      </c>
      <c r="B67" s="62">
        <v>542.77006546000007</v>
      </c>
      <c r="C67" s="8">
        <v>3.5550000000000002</v>
      </c>
    </row>
    <row r="68" spans="1:3" x14ac:dyDescent="0.25">
      <c r="A68">
        <v>80</v>
      </c>
      <c r="B68" s="62">
        <v>549.39913271</v>
      </c>
      <c r="C68" s="8">
        <v>3.6</v>
      </c>
    </row>
    <row r="69" spans="1:3" x14ac:dyDescent="0.25">
      <c r="A69">
        <v>81</v>
      </c>
      <c r="B69" s="62">
        <v>556.02819996000005</v>
      </c>
      <c r="C69" s="8">
        <v>3.645</v>
      </c>
    </row>
    <row r="70" spans="1:3" x14ac:dyDescent="0.25">
      <c r="A70">
        <v>82</v>
      </c>
      <c r="B70" s="62">
        <v>562.65726720999999</v>
      </c>
      <c r="C70" s="8">
        <v>3.69</v>
      </c>
    </row>
    <row r="71" spans="1:3" x14ac:dyDescent="0.25">
      <c r="A71">
        <v>83</v>
      </c>
      <c r="B71" s="62">
        <v>569.28633446000003</v>
      </c>
      <c r="C71" s="8">
        <v>3.7349999999999999</v>
      </c>
    </row>
    <row r="72" spans="1:3" x14ac:dyDescent="0.25">
      <c r="A72">
        <v>84</v>
      </c>
      <c r="B72" s="62">
        <v>575.91540171000008</v>
      </c>
      <c r="C72" s="8">
        <v>3.78</v>
      </c>
    </row>
    <row r="73" spans="1:3" x14ac:dyDescent="0.25">
      <c r="A73">
        <v>85</v>
      </c>
      <c r="B73" s="62">
        <v>582.54446896000002</v>
      </c>
      <c r="C73" s="8">
        <v>3.8250000000000002</v>
      </c>
    </row>
    <row r="74" spans="1:3" x14ac:dyDescent="0.25">
      <c r="A74">
        <v>86</v>
      </c>
      <c r="B74" s="62">
        <v>589.17353621000007</v>
      </c>
      <c r="C74" s="8">
        <v>3.87</v>
      </c>
    </row>
    <row r="75" spans="1:3" x14ac:dyDescent="0.25">
      <c r="A75">
        <v>87</v>
      </c>
      <c r="B75" s="62">
        <v>595.80260346</v>
      </c>
      <c r="C75" s="8">
        <v>3.915</v>
      </c>
    </row>
    <row r="76" spans="1:3" x14ac:dyDescent="0.25">
      <c r="A76">
        <v>88</v>
      </c>
      <c r="B76" s="62">
        <v>602.43167071000005</v>
      </c>
      <c r="C76" s="8">
        <v>3.96</v>
      </c>
    </row>
    <row r="77" spans="1:3" x14ac:dyDescent="0.25">
      <c r="A77">
        <v>89</v>
      </c>
      <c r="B77" s="62">
        <v>609.06073795999998</v>
      </c>
      <c r="C77" s="8">
        <v>4.0049999999999999</v>
      </c>
    </row>
    <row r="78" spans="1:3" x14ac:dyDescent="0.25">
      <c r="A78">
        <v>90</v>
      </c>
      <c r="B78" s="62">
        <v>615.68980521000003</v>
      </c>
      <c r="C78" s="8">
        <v>4.05</v>
      </c>
    </row>
    <row r="79" spans="1:3" x14ac:dyDescent="0.25">
      <c r="A79">
        <v>91</v>
      </c>
      <c r="B79" s="62">
        <v>622.31887246000008</v>
      </c>
      <c r="C79" s="8">
        <v>4.0949999999999998</v>
      </c>
    </row>
    <row r="80" spans="1:3" x14ac:dyDescent="0.25">
      <c r="A80">
        <v>92</v>
      </c>
      <c r="B80" s="62">
        <v>628.94793971000001</v>
      </c>
      <c r="C80" s="8">
        <v>4.1399999999999997</v>
      </c>
    </row>
    <row r="81" spans="1:3" x14ac:dyDescent="0.25">
      <c r="A81">
        <v>93</v>
      </c>
      <c r="B81" s="62">
        <v>635.57700696000006</v>
      </c>
      <c r="C81" s="8">
        <v>4.1849999999999996</v>
      </c>
    </row>
    <row r="82" spans="1:3" x14ac:dyDescent="0.25">
      <c r="A82">
        <v>94</v>
      </c>
      <c r="B82" s="62">
        <v>642.20607421</v>
      </c>
      <c r="C82" s="8">
        <v>4.2300000000000004</v>
      </c>
    </row>
    <row r="83" spans="1:3" x14ac:dyDescent="0.25">
      <c r="A83">
        <v>95</v>
      </c>
      <c r="B83" s="62">
        <v>648.83514146000005</v>
      </c>
      <c r="C83" s="8">
        <v>4.2750000000000004</v>
      </c>
    </row>
    <row r="84" spans="1:3" x14ac:dyDescent="0.25">
      <c r="A84">
        <v>96</v>
      </c>
      <c r="B84" s="62">
        <v>655.46420871000009</v>
      </c>
      <c r="C84" s="8">
        <v>4.32</v>
      </c>
    </row>
    <row r="85" spans="1:3" x14ac:dyDescent="0.25">
      <c r="A85">
        <v>97</v>
      </c>
      <c r="B85" s="62">
        <v>662.09327596000003</v>
      </c>
      <c r="C85" s="8">
        <v>4.3650000000000002</v>
      </c>
    </row>
    <row r="86" spans="1:3" x14ac:dyDescent="0.25">
      <c r="A86">
        <v>98</v>
      </c>
      <c r="B86" s="62">
        <v>668.72234321000008</v>
      </c>
      <c r="C86" s="8">
        <v>4.41</v>
      </c>
    </row>
    <row r="87" spans="1:3" x14ac:dyDescent="0.25">
      <c r="A87">
        <v>99</v>
      </c>
      <c r="B87" s="62">
        <v>675.35141046000001</v>
      </c>
      <c r="C87" s="8">
        <v>4.4550000000000001</v>
      </c>
    </row>
    <row r="88" spans="1:3" x14ac:dyDescent="0.25">
      <c r="A88">
        <v>100</v>
      </c>
      <c r="B88" s="62">
        <v>681.98047771000006</v>
      </c>
      <c r="C88" s="8">
        <v>4.5</v>
      </c>
    </row>
    <row r="89" spans="1:3" x14ac:dyDescent="0.25">
      <c r="A89">
        <v>101</v>
      </c>
      <c r="B89" s="62">
        <v>688.60954495999999</v>
      </c>
      <c r="C89" s="8">
        <v>4.5449999999999999</v>
      </c>
    </row>
    <row r="90" spans="1:3" x14ac:dyDescent="0.25">
      <c r="A90">
        <v>102</v>
      </c>
      <c r="B90" s="62">
        <v>695.23861221000004</v>
      </c>
      <c r="C90" s="8">
        <v>4.59</v>
      </c>
    </row>
    <row r="91" spans="1:3" x14ac:dyDescent="0.25">
      <c r="A91">
        <v>103</v>
      </c>
      <c r="B91" s="62">
        <v>701.86767946000009</v>
      </c>
      <c r="C91" s="8">
        <v>4.6349999999999998</v>
      </c>
    </row>
    <row r="92" spans="1:3" x14ac:dyDescent="0.25">
      <c r="A92">
        <v>104</v>
      </c>
      <c r="B92" s="62">
        <v>708.49674671000002</v>
      </c>
      <c r="C92" s="8">
        <v>4.68</v>
      </c>
    </row>
    <row r="93" spans="1:3" x14ac:dyDescent="0.25">
      <c r="A93">
        <v>105</v>
      </c>
      <c r="B93" s="62">
        <v>715.12581396000007</v>
      </c>
      <c r="C93" s="8">
        <v>4.7249999999999996</v>
      </c>
    </row>
    <row r="94" spans="1:3" x14ac:dyDescent="0.25">
      <c r="A94">
        <v>106</v>
      </c>
      <c r="B94" s="62">
        <v>721.75488121000001</v>
      </c>
      <c r="C94" s="8">
        <v>4.7699999999999996</v>
      </c>
    </row>
    <row r="95" spans="1:3" x14ac:dyDescent="0.25">
      <c r="A95">
        <v>107</v>
      </c>
      <c r="B95" s="62">
        <v>728.38394846000006</v>
      </c>
      <c r="C95" s="8">
        <v>4.8150000000000004</v>
      </c>
    </row>
    <row r="96" spans="1:3" x14ac:dyDescent="0.25">
      <c r="A96">
        <v>108</v>
      </c>
      <c r="B96" s="62">
        <v>735.01301570999999</v>
      </c>
      <c r="C96" s="8">
        <v>4.8600000000000003</v>
      </c>
    </row>
    <row r="97" spans="1:3" x14ac:dyDescent="0.25">
      <c r="A97">
        <v>109</v>
      </c>
      <c r="B97" s="62">
        <v>741.64208296000004</v>
      </c>
      <c r="C97" s="8">
        <v>4.9050000000000002</v>
      </c>
    </row>
    <row r="98" spans="1:3" x14ac:dyDescent="0.25">
      <c r="A98">
        <v>110</v>
      </c>
      <c r="B98" s="62">
        <v>748.27115021000009</v>
      </c>
      <c r="C98" s="8">
        <v>4.95</v>
      </c>
    </row>
    <row r="99" spans="1:3" x14ac:dyDescent="0.25">
      <c r="A99">
        <v>111</v>
      </c>
      <c r="B99" s="62">
        <v>754.90021746000002</v>
      </c>
      <c r="C99" s="8">
        <v>4.9950000000000001</v>
      </c>
    </row>
    <row r="100" spans="1:3" x14ac:dyDescent="0.25">
      <c r="A100">
        <v>112</v>
      </c>
      <c r="B100" s="62">
        <v>761.52928471000007</v>
      </c>
      <c r="C100" s="8">
        <v>5.04</v>
      </c>
    </row>
    <row r="101" spans="1:3" x14ac:dyDescent="0.25">
      <c r="A101">
        <v>113</v>
      </c>
      <c r="B101" s="62">
        <v>768.15835196</v>
      </c>
      <c r="C101" s="8">
        <v>5.085</v>
      </c>
    </row>
    <row r="102" spans="1:3" x14ac:dyDescent="0.25">
      <c r="A102">
        <v>114</v>
      </c>
      <c r="B102" s="62">
        <v>774.78741921000005</v>
      </c>
      <c r="C102" s="8">
        <v>5.13</v>
      </c>
    </row>
    <row r="103" spans="1:3" x14ac:dyDescent="0.25">
      <c r="A103">
        <v>115</v>
      </c>
      <c r="B103" s="62">
        <v>781.41648645999999</v>
      </c>
      <c r="C103" s="8">
        <v>5.1749999999999998</v>
      </c>
    </row>
    <row r="104" spans="1:3" x14ac:dyDescent="0.25">
      <c r="A104">
        <v>116</v>
      </c>
      <c r="B104" s="62">
        <v>788.04555371000004</v>
      </c>
      <c r="C104" s="8">
        <v>5.22</v>
      </c>
    </row>
    <row r="105" spans="1:3" x14ac:dyDescent="0.25">
      <c r="A105">
        <v>117</v>
      </c>
      <c r="B105" s="62">
        <v>794.67462096000008</v>
      </c>
      <c r="C105" s="8">
        <v>5.2649999999999997</v>
      </c>
    </row>
    <row r="106" spans="1:3" x14ac:dyDescent="0.25">
      <c r="A106">
        <v>118</v>
      </c>
      <c r="B106" s="62">
        <v>801.30368821000002</v>
      </c>
      <c r="C106" s="8">
        <v>5.31</v>
      </c>
    </row>
    <row r="107" spans="1:3" x14ac:dyDescent="0.25">
      <c r="A107">
        <v>119</v>
      </c>
      <c r="B107" s="62">
        <v>807.93275546000007</v>
      </c>
      <c r="C107" s="8">
        <v>5.3550000000000004</v>
      </c>
    </row>
    <row r="108" spans="1:3" x14ac:dyDescent="0.25">
      <c r="A108">
        <v>120</v>
      </c>
      <c r="B108" s="62">
        <v>814.56182271</v>
      </c>
      <c r="C108" s="8">
        <v>5.4</v>
      </c>
    </row>
    <row r="109" spans="1:3" x14ac:dyDescent="0.25">
      <c r="A109">
        <v>121</v>
      </c>
      <c r="B109" s="62">
        <v>821.19088996000005</v>
      </c>
      <c r="C109" s="8">
        <v>5.4450000000000003</v>
      </c>
    </row>
    <row r="110" spans="1:3" x14ac:dyDescent="0.25">
      <c r="A110">
        <v>122</v>
      </c>
      <c r="B110" s="62">
        <v>827.8199572100001</v>
      </c>
      <c r="C110" s="8">
        <v>5.49</v>
      </c>
    </row>
    <row r="111" spans="1:3" x14ac:dyDescent="0.25">
      <c r="A111">
        <v>123</v>
      </c>
      <c r="B111" s="62">
        <v>834.44902446000003</v>
      </c>
      <c r="C111" s="8">
        <v>5.5350000000000001</v>
      </c>
    </row>
    <row r="112" spans="1:3" x14ac:dyDescent="0.25">
      <c r="A112">
        <v>124</v>
      </c>
      <c r="B112" s="62">
        <v>841.07809171000008</v>
      </c>
      <c r="C112" s="8">
        <v>5.58</v>
      </c>
    </row>
    <row r="113" spans="1:3" x14ac:dyDescent="0.25">
      <c r="A113">
        <v>125</v>
      </c>
      <c r="B113" s="62">
        <v>847.70715896000002</v>
      </c>
      <c r="C113" s="8">
        <v>5.625</v>
      </c>
    </row>
    <row r="114" spans="1:3" x14ac:dyDescent="0.25">
      <c r="A114">
        <v>126</v>
      </c>
      <c r="B114" s="62">
        <v>854.33622621000006</v>
      </c>
      <c r="C114" s="8">
        <v>5.67</v>
      </c>
    </row>
    <row r="115" spans="1:3" x14ac:dyDescent="0.25">
      <c r="A115">
        <v>127</v>
      </c>
      <c r="B115" s="62">
        <v>860.96529346</v>
      </c>
      <c r="C115" s="8">
        <v>5.7149999999999999</v>
      </c>
    </row>
    <row r="116" spans="1:3" x14ac:dyDescent="0.25">
      <c r="A116">
        <v>128</v>
      </c>
      <c r="B116" s="62">
        <v>867.59436071000005</v>
      </c>
      <c r="C116" s="8">
        <v>5.76</v>
      </c>
    </row>
    <row r="117" spans="1:3" x14ac:dyDescent="0.25">
      <c r="A117">
        <v>129</v>
      </c>
      <c r="B117" s="62">
        <v>874.22342796000009</v>
      </c>
      <c r="C117" s="8">
        <v>5.8049999999999997</v>
      </c>
    </row>
    <row r="118" spans="1:3" x14ac:dyDescent="0.25">
      <c r="A118">
        <v>130</v>
      </c>
      <c r="B118" s="62">
        <v>880.85249521000003</v>
      </c>
      <c r="C118" s="8">
        <v>5.85</v>
      </c>
    </row>
  </sheetData>
  <sheetProtection selectLockedCells="1" selectUnlockedCells="1"/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7"/>
  <sheetViews>
    <sheetView workbookViewId="0">
      <pane ySplit="2" topLeftCell="A3" activePane="bottomLeft" state="frozen"/>
      <selection activeCell="A2" sqref="A2"/>
      <selection pane="bottomLeft" activeCell="H14" sqref="H14"/>
    </sheetView>
  </sheetViews>
  <sheetFormatPr defaultRowHeight="15" x14ac:dyDescent="0.25"/>
  <cols>
    <col min="12" max="12" width="12.28515625" customWidth="1"/>
    <col min="13" max="13" width="12.7109375" customWidth="1"/>
    <col min="14" max="14" width="16" customWidth="1"/>
  </cols>
  <sheetData>
    <row r="1" spans="1:15" ht="23.25" x14ac:dyDescent="0.35">
      <c r="A1" s="132" t="s">
        <v>57</v>
      </c>
      <c r="B1" s="133"/>
      <c r="C1" s="133"/>
      <c r="D1" s="55"/>
      <c r="E1" s="132" t="s">
        <v>58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ht="45" customHeight="1" x14ac:dyDescent="0.25">
      <c r="A2" s="10" t="s">
        <v>36</v>
      </c>
      <c r="B2" s="11" t="s">
        <v>37</v>
      </c>
      <c r="C2" s="12" t="s">
        <v>38</v>
      </c>
      <c r="D2" s="69"/>
      <c r="E2" s="10" t="s">
        <v>36</v>
      </c>
      <c r="F2" s="11" t="s">
        <v>37</v>
      </c>
      <c r="G2" s="12" t="s">
        <v>59</v>
      </c>
      <c r="H2" s="11" t="s">
        <v>60</v>
      </c>
      <c r="I2" s="12" t="s">
        <v>61</v>
      </c>
      <c r="J2" s="12" t="s">
        <v>62</v>
      </c>
      <c r="K2" s="11" t="s">
        <v>63</v>
      </c>
      <c r="L2" s="11" t="s">
        <v>64</v>
      </c>
      <c r="M2" s="11" t="s">
        <v>65</v>
      </c>
      <c r="N2" s="11" t="s">
        <v>66</v>
      </c>
      <c r="O2" s="11" t="s">
        <v>67</v>
      </c>
    </row>
    <row r="3" spans="1:15" x14ac:dyDescent="0.25">
      <c r="A3" s="13">
        <v>16</v>
      </c>
      <c r="B3" s="14">
        <v>204.32</v>
      </c>
      <c r="C3" s="15">
        <v>0.90718080000000012</v>
      </c>
      <c r="D3" s="48"/>
      <c r="E3" s="13">
        <v>12</v>
      </c>
      <c r="F3" s="14">
        <v>128</v>
      </c>
      <c r="G3" s="15">
        <f t="shared" ref="G3:G10" si="0">F3/6*28/1000</f>
        <v>0.59733333333333327</v>
      </c>
      <c r="H3" s="16">
        <v>2</v>
      </c>
      <c r="I3" s="17">
        <v>1</v>
      </c>
      <c r="J3" s="17">
        <v>1</v>
      </c>
      <c r="K3" s="17">
        <v>10</v>
      </c>
      <c r="L3" s="17">
        <f t="shared" ref="L3:L10" si="1">K3+J3+I3+(G3*H3)+0.5</f>
        <v>13.694666666666667</v>
      </c>
      <c r="M3" s="17">
        <f t="shared" ref="M3:M10" si="2">K3*2+G3*2+0.5</f>
        <v>21.694666666666667</v>
      </c>
      <c r="N3" s="17">
        <f t="shared" ref="N3:N10" si="3">(K3*4)+(G3*2)+0.5</f>
        <v>41.694666666666663</v>
      </c>
      <c r="O3" s="14"/>
    </row>
    <row r="4" spans="1:15" x14ac:dyDescent="0.25">
      <c r="A4" s="18">
        <v>17</v>
      </c>
      <c r="B4" s="19">
        <v>217.09</v>
      </c>
      <c r="C4" s="20">
        <v>0.96387960000000006</v>
      </c>
      <c r="D4" s="49"/>
      <c r="E4" s="18">
        <v>14</v>
      </c>
      <c r="F4" s="19">
        <v>153</v>
      </c>
      <c r="G4" s="20">
        <f t="shared" si="0"/>
        <v>0.71399999999999997</v>
      </c>
      <c r="H4" s="21"/>
      <c r="I4" s="22">
        <v>1</v>
      </c>
      <c r="J4" s="22">
        <v>1</v>
      </c>
      <c r="K4" s="22">
        <v>10</v>
      </c>
      <c r="L4" s="22">
        <f t="shared" si="1"/>
        <v>12.5</v>
      </c>
      <c r="M4" s="22">
        <f t="shared" si="2"/>
        <v>21.928000000000001</v>
      </c>
      <c r="N4" s="22">
        <f t="shared" si="3"/>
        <v>41.927999999999997</v>
      </c>
      <c r="O4" s="19"/>
    </row>
    <row r="5" spans="1:15" x14ac:dyDescent="0.25">
      <c r="A5" s="13">
        <v>18</v>
      </c>
      <c r="B5" s="14">
        <v>229.85999999999999</v>
      </c>
      <c r="C5" s="15">
        <v>1.0205784</v>
      </c>
      <c r="D5" s="48"/>
      <c r="E5" s="13">
        <v>22</v>
      </c>
      <c r="F5" s="14">
        <v>243</v>
      </c>
      <c r="G5" s="15">
        <f t="shared" si="0"/>
        <v>1.1339999999999999</v>
      </c>
      <c r="H5" s="16"/>
      <c r="I5" s="17">
        <v>1</v>
      </c>
      <c r="J5" s="17">
        <v>1</v>
      </c>
      <c r="K5" s="17">
        <v>10</v>
      </c>
      <c r="L5" s="17">
        <f t="shared" si="1"/>
        <v>12.5</v>
      </c>
      <c r="M5" s="17">
        <f t="shared" si="2"/>
        <v>22.768000000000001</v>
      </c>
      <c r="N5" s="17">
        <f t="shared" si="3"/>
        <v>42.768000000000001</v>
      </c>
      <c r="O5" s="14"/>
    </row>
    <row r="6" spans="1:15" x14ac:dyDescent="0.25">
      <c r="A6" s="18">
        <v>19</v>
      </c>
      <c r="B6" s="19">
        <v>242.63</v>
      </c>
      <c r="C6" s="20">
        <v>1.0772771999999999</v>
      </c>
      <c r="D6" s="49"/>
      <c r="E6" s="18">
        <v>26</v>
      </c>
      <c r="F6" s="19">
        <v>281</v>
      </c>
      <c r="G6" s="20">
        <f t="shared" si="0"/>
        <v>1.3113333333333335</v>
      </c>
      <c r="H6" s="21">
        <v>2</v>
      </c>
      <c r="I6" s="22">
        <v>1</v>
      </c>
      <c r="J6" s="22">
        <v>1</v>
      </c>
      <c r="K6" s="22">
        <v>10</v>
      </c>
      <c r="L6" s="22">
        <f t="shared" si="1"/>
        <v>15.122666666666667</v>
      </c>
      <c r="M6" s="22">
        <f t="shared" si="2"/>
        <v>23.122666666666667</v>
      </c>
      <c r="N6" s="22">
        <f t="shared" si="3"/>
        <v>43.122666666666667</v>
      </c>
      <c r="O6" s="19"/>
    </row>
    <row r="7" spans="1:15" x14ac:dyDescent="0.25">
      <c r="A7" s="13">
        <v>20</v>
      </c>
      <c r="B7" s="14">
        <v>255.39999999999998</v>
      </c>
      <c r="C7" s="15">
        <v>1.1339759999999999</v>
      </c>
      <c r="D7" s="48"/>
      <c r="E7" s="13">
        <v>28</v>
      </c>
      <c r="F7" s="14">
        <v>306</v>
      </c>
      <c r="G7" s="15">
        <f t="shared" si="0"/>
        <v>1.4279999999999999</v>
      </c>
      <c r="H7" s="16"/>
      <c r="I7" s="17">
        <v>1</v>
      </c>
      <c r="J7" s="17">
        <v>1</v>
      </c>
      <c r="K7" s="17">
        <v>10</v>
      </c>
      <c r="L7" s="17">
        <f t="shared" si="1"/>
        <v>12.5</v>
      </c>
      <c r="M7" s="17">
        <f t="shared" si="2"/>
        <v>23.356000000000002</v>
      </c>
      <c r="N7" s="17">
        <f t="shared" si="3"/>
        <v>43.356000000000002</v>
      </c>
      <c r="O7" s="14"/>
    </row>
    <row r="8" spans="1:15" x14ac:dyDescent="0.25">
      <c r="A8" s="18">
        <v>21</v>
      </c>
      <c r="B8" s="19">
        <v>268.17</v>
      </c>
      <c r="C8" s="20">
        <v>1.1906748000000003</v>
      </c>
      <c r="D8" s="49"/>
      <c r="E8" s="18">
        <v>32</v>
      </c>
      <c r="F8" s="19">
        <v>383</v>
      </c>
      <c r="G8" s="20">
        <f t="shared" si="0"/>
        <v>1.7873333333333334</v>
      </c>
      <c r="H8" s="21"/>
      <c r="I8" s="22">
        <v>1</v>
      </c>
      <c r="J8" s="22">
        <v>1</v>
      </c>
      <c r="K8" s="22">
        <v>4</v>
      </c>
      <c r="L8" s="22">
        <f t="shared" si="1"/>
        <v>6.5</v>
      </c>
      <c r="M8" s="22">
        <f t="shared" si="2"/>
        <v>12.074666666666667</v>
      </c>
      <c r="N8" s="22">
        <f t="shared" si="3"/>
        <v>20.074666666666666</v>
      </c>
      <c r="O8" s="19"/>
    </row>
    <row r="9" spans="1:15" x14ac:dyDescent="0.25">
      <c r="A9" s="13">
        <v>22</v>
      </c>
      <c r="B9" s="14">
        <v>280.94</v>
      </c>
      <c r="C9" s="15">
        <v>1.2473736000000002</v>
      </c>
      <c r="D9" s="48"/>
      <c r="E9" s="13">
        <v>40</v>
      </c>
      <c r="F9" s="14">
        <v>485</v>
      </c>
      <c r="G9" s="15">
        <f t="shared" si="0"/>
        <v>2.2633333333333332</v>
      </c>
      <c r="H9" s="16"/>
      <c r="I9" s="17">
        <v>1</v>
      </c>
      <c r="J9" s="17">
        <v>1</v>
      </c>
      <c r="K9" s="17">
        <v>10</v>
      </c>
      <c r="L9" s="17">
        <f t="shared" si="1"/>
        <v>12.5</v>
      </c>
      <c r="M9" s="17">
        <f t="shared" si="2"/>
        <v>25.026666666666667</v>
      </c>
      <c r="N9" s="17">
        <f t="shared" si="3"/>
        <v>45.026666666666664</v>
      </c>
      <c r="O9" s="14"/>
    </row>
    <row r="10" spans="1:15" x14ac:dyDescent="0.25">
      <c r="A10" s="18">
        <v>23</v>
      </c>
      <c r="B10" s="19">
        <v>293.70999999999998</v>
      </c>
      <c r="C10" s="20">
        <v>1.3040723999999999</v>
      </c>
      <c r="D10" s="49"/>
      <c r="E10" s="18">
        <v>48</v>
      </c>
      <c r="F10" s="19">
        <v>561</v>
      </c>
      <c r="G10" s="20">
        <f t="shared" si="0"/>
        <v>2.6179999999999999</v>
      </c>
      <c r="H10" s="21"/>
      <c r="I10" s="22">
        <v>1</v>
      </c>
      <c r="J10" s="22">
        <v>1</v>
      </c>
      <c r="K10" s="22">
        <v>10</v>
      </c>
      <c r="L10" s="22">
        <f t="shared" si="1"/>
        <v>12.5</v>
      </c>
      <c r="M10" s="22">
        <f t="shared" si="2"/>
        <v>25.736000000000001</v>
      </c>
      <c r="N10" s="22">
        <f t="shared" si="3"/>
        <v>45.735999999999997</v>
      </c>
      <c r="O10" s="19"/>
    </row>
    <row r="11" spans="1:15" x14ac:dyDescent="0.25">
      <c r="A11" s="13">
        <v>24</v>
      </c>
      <c r="B11" s="14">
        <v>306.48</v>
      </c>
      <c r="C11" s="15">
        <v>1.3607712000000001</v>
      </c>
      <c r="D11" s="70"/>
      <c r="E11" s="124">
        <v>80</v>
      </c>
      <c r="F11" s="67">
        <v>1021.5999999999999</v>
      </c>
      <c r="G11" s="68">
        <v>4.5359039999999995</v>
      </c>
      <c r="H11" s="126"/>
      <c r="I11" s="127">
        <v>1</v>
      </c>
      <c r="J11" s="127">
        <v>1</v>
      </c>
      <c r="K11" s="127">
        <v>6</v>
      </c>
      <c r="L11" s="127">
        <f t="shared" ref="L11" si="4">K11+J11+I11+(G11*H11)+0.5</f>
        <v>8.5</v>
      </c>
      <c r="M11" s="127">
        <f t="shared" ref="M11" si="5">K11*2+G11*2+0.5</f>
        <v>21.571807999999997</v>
      </c>
      <c r="N11" s="127">
        <f t="shared" ref="N11" si="6">(K11*4)+(G11*2)+0.5</f>
        <v>33.571807999999997</v>
      </c>
      <c r="O11" s="125"/>
    </row>
    <row r="12" spans="1:15" x14ac:dyDescent="0.25">
      <c r="A12" s="18">
        <v>25</v>
      </c>
      <c r="B12" s="19">
        <v>319.25</v>
      </c>
      <c r="C12" s="20">
        <v>1.41747</v>
      </c>
      <c r="D12" s="23"/>
      <c r="G12" s="23"/>
      <c r="H12" s="24"/>
      <c r="I12" s="24"/>
      <c r="J12" s="24"/>
      <c r="K12" s="24"/>
      <c r="O12" s="24"/>
    </row>
    <row r="13" spans="1:15" x14ac:dyDescent="0.25">
      <c r="A13" s="13">
        <v>26</v>
      </c>
      <c r="B13" s="14">
        <v>332.02</v>
      </c>
      <c r="C13" s="15">
        <v>1.4741688000000002</v>
      </c>
      <c r="D13" s="70"/>
      <c r="G13" s="23"/>
      <c r="H13" s="24"/>
      <c r="I13" s="24"/>
      <c r="J13" s="24"/>
      <c r="K13" s="24"/>
      <c r="O13" s="24"/>
    </row>
    <row r="14" spans="1:15" x14ac:dyDescent="0.25">
      <c r="A14" s="18">
        <v>27</v>
      </c>
      <c r="B14" s="19">
        <v>344.78999999999996</v>
      </c>
      <c r="C14" s="20">
        <v>1.5308676000000001</v>
      </c>
      <c r="D14" s="23"/>
      <c r="G14" s="23"/>
      <c r="H14" s="24"/>
      <c r="I14" s="24"/>
      <c r="J14" s="24"/>
      <c r="K14" s="24"/>
      <c r="O14" s="24"/>
    </row>
    <row r="15" spans="1:15" x14ac:dyDescent="0.25">
      <c r="A15" s="13">
        <v>28</v>
      </c>
      <c r="B15" s="14">
        <v>357.56</v>
      </c>
      <c r="C15" s="15">
        <v>1.5875664000000003</v>
      </c>
      <c r="D15" s="70"/>
      <c r="G15" s="23"/>
      <c r="H15" s="24"/>
      <c r="I15" s="24"/>
      <c r="J15" s="24"/>
      <c r="K15" s="24"/>
      <c r="O15" s="24"/>
    </row>
    <row r="16" spans="1:15" x14ac:dyDescent="0.25">
      <c r="A16" s="18">
        <v>29</v>
      </c>
      <c r="B16" s="19">
        <v>370.33</v>
      </c>
      <c r="C16" s="20">
        <v>1.6442652</v>
      </c>
      <c r="D16" s="23"/>
      <c r="G16" s="23"/>
      <c r="H16" s="24"/>
      <c r="I16" s="24"/>
      <c r="J16" s="24"/>
      <c r="K16" s="24"/>
      <c r="O16" s="24"/>
    </row>
    <row r="17" spans="1:15" x14ac:dyDescent="0.25">
      <c r="A17" s="13">
        <v>30</v>
      </c>
      <c r="B17" s="14">
        <v>383.09999999999997</v>
      </c>
      <c r="C17" s="15">
        <v>1.7009639999999999</v>
      </c>
      <c r="D17" s="70"/>
      <c r="G17" s="23"/>
      <c r="H17" s="24"/>
      <c r="I17" s="24"/>
      <c r="J17" s="24"/>
      <c r="K17" s="24"/>
      <c r="O17" s="24"/>
    </row>
    <row r="18" spans="1:15" x14ac:dyDescent="0.25">
      <c r="A18" s="18">
        <v>31</v>
      </c>
      <c r="B18" s="19">
        <v>395.87</v>
      </c>
      <c r="C18" s="20">
        <v>1.7576628000000003</v>
      </c>
      <c r="D18" s="23"/>
      <c r="G18" s="23"/>
      <c r="H18" s="24"/>
      <c r="I18" s="24"/>
      <c r="J18" s="24"/>
      <c r="K18" s="24"/>
      <c r="O18" s="24"/>
    </row>
    <row r="19" spans="1:15" x14ac:dyDescent="0.25">
      <c r="A19" s="13">
        <v>32</v>
      </c>
      <c r="B19" s="14">
        <v>408.64</v>
      </c>
      <c r="C19" s="15">
        <v>1.8143616000000002</v>
      </c>
      <c r="D19" s="70"/>
      <c r="G19" s="23"/>
      <c r="H19" s="24"/>
      <c r="I19" s="24"/>
      <c r="J19" s="24"/>
      <c r="K19" s="24"/>
      <c r="O19" s="24"/>
    </row>
    <row r="20" spans="1:15" x14ac:dyDescent="0.25">
      <c r="A20" s="18">
        <v>33</v>
      </c>
      <c r="B20" s="19">
        <v>421.40999999999997</v>
      </c>
      <c r="C20" s="20">
        <v>1.8710604000000002</v>
      </c>
      <c r="D20" s="23"/>
      <c r="G20" s="23"/>
      <c r="H20" s="24"/>
      <c r="I20" s="24"/>
      <c r="J20" s="24"/>
      <c r="K20" s="24"/>
      <c r="O20" s="24"/>
    </row>
    <row r="21" spans="1:15" x14ac:dyDescent="0.25">
      <c r="A21" s="13">
        <v>34</v>
      </c>
      <c r="B21" s="14">
        <v>434.18</v>
      </c>
      <c r="C21" s="15">
        <v>1.9277592000000001</v>
      </c>
      <c r="D21" s="70"/>
      <c r="G21" s="23"/>
      <c r="H21" s="24"/>
      <c r="I21" s="24"/>
      <c r="J21" s="24"/>
      <c r="K21" s="24"/>
      <c r="O21" s="24"/>
    </row>
    <row r="22" spans="1:15" x14ac:dyDescent="0.25">
      <c r="A22" s="18">
        <v>35</v>
      </c>
      <c r="B22" s="19">
        <v>446.95</v>
      </c>
      <c r="C22" s="20">
        <v>1.9844580000000001</v>
      </c>
      <c r="D22" s="23"/>
      <c r="G22" s="23"/>
      <c r="H22" s="24"/>
      <c r="I22" s="24"/>
      <c r="J22" s="24"/>
      <c r="K22" s="24"/>
      <c r="O22" s="24"/>
    </row>
    <row r="23" spans="1:15" x14ac:dyDescent="0.25">
      <c r="A23" s="13">
        <v>36</v>
      </c>
      <c r="B23" s="14">
        <v>459.71999999999997</v>
      </c>
      <c r="C23" s="15">
        <v>2.0411568</v>
      </c>
      <c r="D23" s="70"/>
      <c r="G23" s="23"/>
      <c r="H23" s="24"/>
      <c r="I23" s="24"/>
      <c r="J23" s="24"/>
      <c r="K23" s="24"/>
      <c r="O23" s="24"/>
    </row>
    <row r="24" spans="1:15" x14ac:dyDescent="0.25">
      <c r="A24" s="18">
        <v>37</v>
      </c>
      <c r="B24" s="19">
        <v>472.49</v>
      </c>
      <c r="C24" s="20">
        <v>2.0978556000000004</v>
      </c>
      <c r="D24" s="23"/>
      <c r="G24" s="23"/>
      <c r="H24" s="24"/>
      <c r="I24" s="24"/>
      <c r="J24" s="24"/>
      <c r="K24" s="24"/>
      <c r="O24" s="24"/>
    </row>
    <row r="25" spans="1:15" x14ac:dyDescent="0.25">
      <c r="A25" s="13">
        <v>38</v>
      </c>
      <c r="B25" s="14">
        <v>485.26</v>
      </c>
      <c r="C25" s="15">
        <v>2.1545543999999999</v>
      </c>
      <c r="D25" s="70"/>
      <c r="G25" s="23"/>
      <c r="H25" s="24"/>
      <c r="I25" s="24"/>
      <c r="J25" s="24"/>
      <c r="K25" s="24"/>
      <c r="O25" s="24"/>
    </row>
    <row r="26" spans="1:15" x14ac:dyDescent="0.25">
      <c r="A26" s="18">
        <v>39</v>
      </c>
      <c r="B26" s="19">
        <v>498.03</v>
      </c>
      <c r="C26" s="20">
        <v>2.2112532000000003</v>
      </c>
      <c r="D26" s="23"/>
      <c r="G26" s="23"/>
      <c r="H26" s="24"/>
      <c r="I26" s="24"/>
      <c r="J26" s="24"/>
      <c r="K26" s="24"/>
      <c r="O26" s="24"/>
    </row>
    <row r="27" spans="1:15" x14ac:dyDescent="0.25">
      <c r="A27" s="51">
        <v>40</v>
      </c>
      <c r="B27" s="52">
        <v>510.79999999999995</v>
      </c>
      <c r="C27" s="53">
        <v>2.2679519999999997</v>
      </c>
      <c r="D27" s="66"/>
      <c r="G27" s="23"/>
      <c r="H27" s="24"/>
      <c r="I27" s="24"/>
      <c r="J27" s="24"/>
      <c r="K27" s="24"/>
      <c r="O27" s="24"/>
    </row>
    <row r="28" spans="1:15" x14ac:dyDescent="0.25">
      <c r="A28" s="13">
        <v>41</v>
      </c>
      <c r="B28" s="14">
        <v>523.56999999999994</v>
      </c>
      <c r="C28" s="15">
        <v>2.3246507999999997</v>
      </c>
      <c r="D28" s="70"/>
      <c r="G28" s="23"/>
      <c r="H28" s="24"/>
      <c r="I28" s="24"/>
      <c r="J28" s="24"/>
      <c r="K28" s="24"/>
      <c r="O28" s="24"/>
    </row>
    <row r="29" spans="1:15" x14ac:dyDescent="0.25">
      <c r="A29" s="18">
        <v>42</v>
      </c>
      <c r="B29" s="19">
        <v>536.34</v>
      </c>
      <c r="C29" s="20">
        <v>2.3813496000000005</v>
      </c>
      <c r="D29" s="23"/>
      <c r="G29" s="23"/>
      <c r="H29" s="24"/>
      <c r="I29" s="24"/>
      <c r="J29" s="24"/>
      <c r="K29" s="24"/>
      <c r="O29" s="24"/>
    </row>
    <row r="30" spans="1:15" x14ac:dyDescent="0.25">
      <c r="A30" s="18">
        <v>43</v>
      </c>
      <c r="B30" s="19">
        <v>549.11</v>
      </c>
      <c r="C30" s="20">
        <v>2.4380484</v>
      </c>
      <c r="D30" s="23"/>
      <c r="G30" s="23"/>
      <c r="H30" s="24"/>
      <c r="I30" s="24"/>
      <c r="J30" s="24"/>
      <c r="K30" s="24"/>
      <c r="O30" s="24"/>
    </row>
    <row r="31" spans="1:15" x14ac:dyDescent="0.25">
      <c r="A31" s="13">
        <v>44</v>
      </c>
      <c r="B31" s="14">
        <v>561.88</v>
      </c>
      <c r="C31" s="15">
        <v>2.4947472000000004</v>
      </c>
      <c r="D31" s="70"/>
      <c r="G31" s="23"/>
      <c r="H31" s="24"/>
      <c r="I31" s="24"/>
      <c r="J31" s="24"/>
      <c r="K31" s="24"/>
      <c r="O31" s="24"/>
    </row>
    <row r="32" spans="1:15" x14ac:dyDescent="0.25">
      <c r="A32" s="13">
        <v>45</v>
      </c>
      <c r="B32" s="14">
        <v>574.65</v>
      </c>
      <c r="C32" s="15">
        <v>2.5514459999999999</v>
      </c>
      <c r="D32" s="70"/>
      <c r="G32" s="23"/>
      <c r="H32" s="24"/>
      <c r="I32" s="24"/>
      <c r="J32" s="24"/>
      <c r="K32" s="24"/>
      <c r="O32" s="24"/>
    </row>
    <row r="33" spans="1:15" x14ac:dyDescent="0.25">
      <c r="A33" s="18">
        <v>46</v>
      </c>
      <c r="B33" s="19">
        <v>587.41999999999996</v>
      </c>
      <c r="C33" s="20">
        <v>2.6081447999999998</v>
      </c>
      <c r="D33" s="23"/>
      <c r="G33" s="23"/>
      <c r="H33" s="24"/>
      <c r="I33" s="24"/>
      <c r="J33" s="24"/>
      <c r="K33" s="24"/>
      <c r="O33" s="24"/>
    </row>
    <row r="34" spans="1:15" x14ac:dyDescent="0.25">
      <c r="A34" s="18">
        <v>47</v>
      </c>
      <c r="B34" s="19">
        <v>600.18999999999994</v>
      </c>
      <c r="C34" s="20">
        <v>2.6648436000000002</v>
      </c>
      <c r="D34" s="23"/>
      <c r="G34" s="23"/>
      <c r="H34" s="24"/>
      <c r="I34" s="24"/>
      <c r="J34" s="24"/>
      <c r="K34" s="24"/>
      <c r="O34" s="24"/>
    </row>
    <row r="35" spans="1:15" x14ac:dyDescent="0.25">
      <c r="A35" s="13">
        <v>48</v>
      </c>
      <c r="B35" s="14">
        <v>612.96</v>
      </c>
      <c r="C35" s="15">
        <v>2.7215424000000001</v>
      </c>
      <c r="D35" s="70"/>
      <c r="G35" s="23"/>
      <c r="H35" s="24"/>
      <c r="I35" s="24"/>
      <c r="J35" s="24"/>
      <c r="K35" s="24"/>
      <c r="O35" s="24"/>
    </row>
    <row r="36" spans="1:15" x14ac:dyDescent="0.25">
      <c r="A36" s="18">
        <v>49</v>
      </c>
      <c r="B36" s="19">
        <v>625.73</v>
      </c>
      <c r="C36" s="20">
        <v>2.7782412000000005</v>
      </c>
      <c r="D36" s="23"/>
      <c r="G36" s="23"/>
      <c r="H36" s="24"/>
      <c r="I36" s="24"/>
      <c r="J36" s="24"/>
      <c r="K36" s="24"/>
      <c r="O36" s="24"/>
    </row>
    <row r="37" spans="1:15" x14ac:dyDescent="0.25">
      <c r="A37" s="51">
        <v>50</v>
      </c>
      <c r="B37" s="52">
        <v>638.5</v>
      </c>
      <c r="C37" s="53">
        <v>2.83494</v>
      </c>
      <c r="D37" s="66"/>
      <c r="G37" s="23"/>
      <c r="H37" s="24"/>
      <c r="I37" s="24"/>
      <c r="J37" s="24"/>
      <c r="K37" s="24"/>
      <c r="O37" s="24"/>
    </row>
    <row r="38" spans="1:15" x14ac:dyDescent="0.25">
      <c r="A38" s="18">
        <v>51</v>
      </c>
      <c r="B38" s="19">
        <v>651.27</v>
      </c>
      <c r="C38" s="20">
        <v>2.8916388</v>
      </c>
      <c r="D38" s="23"/>
    </row>
    <row r="39" spans="1:15" x14ac:dyDescent="0.25">
      <c r="A39">
        <v>52</v>
      </c>
      <c r="B39" s="67">
        <v>664.04</v>
      </c>
      <c r="C39" s="68">
        <v>2.9483376000000003</v>
      </c>
      <c r="D39" s="23"/>
    </row>
    <row r="40" spans="1:15" x14ac:dyDescent="0.25">
      <c r="A40">
        <v>53</v>
      </c>
      <c r="B40" s="67">
        <v>676.81</v>
      </c>
      <c r="C40" s="68">
        <v>3.0050363999999998</v>
      </c>
      <c r="D40" s="23"/>
    </row>
    <row r="41" spans="1:15" x14ac:dyDescent="0.25">
      <c r="A41">
        <v>54</v>
      </c>
      <c r="B41" s="67">
        <v>689.57999999999993</v>
      </c>
      <c r="C41" s="68">
        <v>3.0617352000000002</v>
      </c>
      <c r="D41" s="23"/>
    </row>
    <row r="42" spans="1:15" x14ac:dyDescent="0.25">
      <c r="A42">
        <v>55</v>
      </c>
      <c r="B42" s="67">
        <v>702.35</v>
      </c>
      <c r="C42" s="68">
        <v>3.1184340000000002</v>
      </c>
      <c r="D42" s="23"/>
    </row>
    <row r="43" spans="1:15" x14ac:dyDescent="0.25">
      <c r="A43">
        <v>56</v>
      </c>
      <c r="B43" s="67">
        <v>715.12</v>
      </c>
      <c r="C43" s="68">
        <v>3.1751328000000005</v>
      </c>
      <c r="D43" s="23"/>
    </row>
    <row r="44" spans="1:15" x14ac:dyDescent="0.25">
      <c r="A44">
        <v>57</v>
      </c>
      <c r="B44" s="67">
        <v>727.89</v>
      </c>
      <c r="C44" s="68">
        <v>3.2318316000000005</v>
      </c>
      <c r="D44" s="23"/>
    </row>
    <row r="45" spans="1:15" x14ac:dyDescent="0.25">
      <c r="A45">
        <v>58</v>
      </c>
      <c r="B45" s="67">
        <v>740.66</v>
      </c>
      <c r="C45" s="68">
        <v>3.2885304</v>
      </c>
      <c r="D45" s="23"/>
    </row>
    <row r="46" spans="1:15" x14ac:dyDescent="0.25">
      <c r="A46">
        <v>59</v>
      </c>
      <c r="B46" s="67">
        <v>753.43</v>
      </c>
      <c r="C46" s="68">
        <v>3.3452292000000003</v>
      </c>
      <c r="D46" s="23"/>
    </row>
    <row r="47" spans="1:15" x14ac:dyDescent="0.25">
      <c r="A47">
        <v>60</v>
      </c>
      <c r="B47" s="67">
        <v>766.19999999999993</v>
      </c>
      <c r="C47" s="68">
        <v>3.4019279999999998</v>
      </c>
      <c r="D47" s="23"/>
    </row>
    <row r="48" spans="1:15" x14ac:dyDescent="0.25">
      <c r="A48">
        <v>61</v>
      </c>
      <c r="B48" s="67">
        <v>778.97</v>
      </c>
      <c r="C48" s="68">
        <v>3.4586268000000007</v>
      </c>
      <c r="D48" s="23"/>
    </row>
    <row r="49" spans="1:4" x14ac:dyDescent="0.25">
      <c r="A49">
        <v>62</v>
      </c>
      <c r="B49" s="67">
        <v>791.74</v>
      </c>
      <c r="C49" s="68">
        <v>3.5153256000000006</v>
      </c>
      <c r="D49" s="23"/>
    </row>
    <row r="50" spans="1:4" x14ac:dyDescent="0.25">
      <c r="A50">
        <v>63</v>
      </c>
      <c r="B50" s="67">
        <v>804.51</v>
      </c>
      <c r="C50" s="68">
        <v>3.5720244000000001</v>
      </c>
      <c r="D50" s="23"/>
    </row>
    <row r="51" spans="1:4" x14ac:dyDescent="0.25">
      <c r="A51">
        <v>64</v>
      </c>
      <c r="B51" s="67">
        <v>817.28</v>
      </c>
      <c r="C51" s="68">
        <v>3.6287232000000005</v>
      </c>
      <c r="D51" s="23"/>
    </row>
    <row r="52" spans="1:4" x14ac:dyDescent="0.25">
      <c r="A52">
        <v>65</v>
      </c>
      <c r="B52" s="67">
        <v>830.05</v>
      </c>
      <c r="C52" s="68">
        <v>3.685422</v>
      </c>
      <c r="D52" s="23"/>
    </row>
    <row r="53" spans="1:4" x14ac:dyDescent="0.25">
      <c r="A53">
        <v>66</v>
      </c>
      <c r="B53" s="67">
        <v>842.81999999999994</v>
      </c>
      <c r="C53" s="68">
        <v>3.7421208000000004</v>
      </c>
      <c r="D53" s="23"/>
    </row>
    <row r="54" spans="1:4" x14ac:dyDescent="0.25">
      <c r="A54">
        <v>67</v>
      </c>
      <c r="B54" s="67">
        <v>855.58999999999992</v>
      </c>
      <c r="C54" s="68">
        <v>3.7988195999999999</v>
      </c>
      <c r="D54" s="23"/>
    </row>
    <row r="55" spans="1:4" x14ac:dyDescent="0.25">
      <c r="A55">
        <v>68</v>
      </c>
      <c r="B55" s="67">
        <v>868.36</v>
      </c>
      <c r="C55" s="68">
        <v>3.8555184000000002</v>
      </c>
      <c r="D55" s="23"/>
    </row>
    <row r="56" spans="1:4" x14ac:dyDescent="0.25">
      <c r="A56">
        <v>69</v>
      </c>
      <c r="B56" s="67">
        <v>881.13</v>
      </c>
      <c r="C56" s="68">
        <v>3.9122172000000006</v>
      </c>
      <c r="D56" s="23"/>
    </row>
    <row r="57" spans="1:4" x14ac:dyDescent="0.25">
      <c r="A57">
        <v>70</v>
      </c>
      <c r="B57" s="67">
        <v>893.9</v>
      </c>
      <c r="C57" s="68">
        <v>3.9689160000000001</v>
      </c>
      <c r="D57" s="23"/>
    </row>
    <row r="58" spans="1:4" x14ac:dyDescent="0.25">
      <c r="A58">
        <v>71</v>
      </c>
      <c r="B58" s="67">
        <v>906.67</v>
      </c>
      <c r="C58" s="68">
        <v>4.0256148000000005</v>
      </c>
      <c r="D58" s="23"/>
    </row>
    <row r="59" spans="1:4" x14ac:dyDescent="0.25">
      <c r="A59">
        <v>72</v>
      </c>
      <c r="B59" s="67">
        <v>919.43999999999994</v>
      </c>
      <c r="C59" s="68">
        <v>4.0823136</v>
      </c>
      <c r="D59" s="23"/>
    </row>
    <row r="60" spans="1:4" x14ac:dyDescent="0.25">
      <c r="A60">
        <v>73</v>
      </c>
      <c r="B60" s="67">
        <v>932.20999999999992</v>
      </c>
      <c r="C60" s="68">
        <v>4.1390123999999995</v>
      </c>
      <c r="D60" s="23"/>
    </row>
    <row r="61" spans="1:4" x14ac:dyDescent="0.25">
      <c r="A61">
        <v>74</v>
      </c>
      <c r="B61" s="67">
        <v>944.98</v>
      </c>
      <c r="C61" s="68">
        <v>4.1957112000000008</v>
      </c>
      <c r="D61" s="23"/>
    </row>
    <row r="62" spans="1:4" x14ac:dyDescent="0.25">
      <c r="A62">
        <v>75</v>
      </c>
      <c r="B62" s="67">
        <v>957.75</v>
      </c>
      <c r="C62" s="68">
        <v>4.2524100000000011</v>
      </c>
      <c r="D62" s="23"/>
    </row>
    <row r="63" spans="1:4" x14ac:dyDescent="0.25">
      <c r="A63">
        <v>76</v>
      </c>
      <c r="B63" s="67">
        <v>970.52</v>
      </c>
      <c r="C63" s="68">
        <v>4.3091087999999997</v>
      </c>
      <c r="D63" s="23"/>
    </row>
    <row r="64" spans="1:4" x14ac:dyDescent="0.25">
      <c r="A64">
        <v>77</v>
      </c>
      <c r="B64" s="67">
        <v>983.29</v>
      </c>
      <c r="C64" s="68">
        <v>4.3658076000000001</v>
      </c>
      <c r="D64" s="23"/>
    </row>
    <row r="65" spans="1:4" x14ac:dyDescent="0.25">
      <c r="A65">
        <v>78</v>
      </c>
      <c r="B65" s="67">
        <v>996.06</v>
      </c>
      <c r="C65" s="68">
        <v>4.4225064000000005</v>
      </c>
      <c r="D65" s="23"/>
    </row>
    <row r="66" spans="1:4" x14ac:dyDescent="0.25">
      <c r="A66">
        <v>79</v>
      </c>
      <c r="B66" s="67">
        <v>1008.8299999999999</v>
      </c>
      <c r="C66" s="68">
        <v>4.4792052</v>
      </c>
      <c r="D66" s="23"/>
    </row>
    <row r="67" spans="1:4" x14ac:dyDescent="0.25">
      <c r="A67">
        <v>80</v>
      </c>
      <c r="B67" s="67">
        <v>1021.5999999999999</v>
      </c>
      <c r="C67" s="68">
        <v>4.5359039999999995</v>
      </c>
      <c r="D67" s="23"/>
    </row>
    <row r="68" spans="1:4" x14ac:dyDescent="0.25">
      <c r="A68">
        <v>81</v>
      </c>
      <c r="B68" s="67">
        <v>1034.3699999999999</v>
      </c>
      <c r="C68" s="68">
        <v>4.5926027999999999</v>
      </c>
      <c r="D68" s="23"/>
    </row>
    <row r="69" spans="1:4" x14ac:dyDescent="0.25">
      <c r="A69">
        <v>82</v>
      </c>
      <c r="B69" s="67">
        <v>1047.1399999999999</v>
      </c>
      <c r="C69" s="68">
        <v>4.6493015999999994</v>
      </c>
      <c r="D69" s="23"/>
    </row>
    <row r="70" spans="1:4" x14ac:dyDescent="0.25">
      <c r="A70">
        <v>83</v>
      </c>
      <c r="B70" s="67">
        <v>1059.9099999999999</v>
      </c>
      <c r="C70" s="68">
        <v>4.7060003999999998</v>
      </c>
      <c r="D70" s="23"/>
    </row>
    <row r="71" spans="1:4" x14ac:dyDescent="0.25">
      <c r="A71">
        <v>84</v>
      </c>
      <c r="B71" s="67">
        <v>1072.68</v>
      </c>
      <c r="C71" s="68">
        <v>4.762699200000001</v>
      </c>
      <c r="D71" s="23"/>
    </row>
    <row r="72" spans="1:4" x14ac:dyDescent="0.25">
      <c r="A72">
        <v>85</v>
      </c>
      <c r="B72" s="67">
        <v>1085.45</v>
      </c>
      <c r="C72" s="68">
        <v>4.8193980000000014</v>
      </c>
      <c r="D72" s="23"/>
    </row>
    <row r="73" spans="1:4" x14ac:dyDescent="0.25">
      <c r="A73">
        <v>86</v>
      </c>
      <c r="B73" s="67">
        <v>1098.22</v>
      </c>
      <c r="C73" s="68">
        <v>4.8760968</v>
      </c>
      <c r="D73" s="23"/>
    </row>
    <row r="74" spans="1:4" x14ac:dyDescent="0.25">
      <c r="A74">
        <v>87</v>
      </c>
      <c r="B74" s="67">
        <v>1110.99</v>
      </c>
      <c r="C74" s="68">
        <v>4.9327956000000004</v>
      </c>
      <c r="D74" s="23"/>
    </row>
    <row r="75" spans="1:4" x14ac:dyDescent="0.25">
      <c r="A75">
        <v>88</v>
      </c>
      <c r="B75" s="67">
        <v>1123.76</v>
      </c>
      <c r="C75" s="68">
        <v>4.9894944000000008</v>
      </c>
      <c r="D75" s="23"/>
    </row>
    <row r="76" spans="1:4" x14ac:dyDescent="0.25">
      <c r="A76">
        <v>89</v>
      </c>
      <c r="B76" s="67">
        <v>1136.53</v>
      </c>
      <c r="C76" s="68">
        <v>5.0461932000000003</v>
      </c>
      <c r="D76" s="23"/>
    </row>
    <row r="77" spans="1:4" x14ac:dyDescent="0.25">
      <c r="A77">
        <v>90</v>
      </c>
      <c r="B77" s="67">
        <v>1149.3</v>
      </c>
      <c r="C77" s="68">
        <v>5.1028919999999998</v>
      </c>
      <c r="D77" s="23"/>
    </row>
    <row r="78" spans="1:4" x14ac:dyDescent="0.25">
      <c r="A78">
        <v>91</v>
      </c>
      <c r="B78" s="67">
        <v>1162.07</v>
      </c>
      <c r="C78" s="68">
        <v>5.1595908000000001</v>
      </c>
      <c r="D78" s="23"/>
    </row>
    <row r="79" spans="1:4" x14ac:dyDescent="0.25">
      <c r="A79">
        <v>92</v>
      </c>
      <c r="B79" s="67">
        <v>1174.8399999999999</v>
      </c>
      <c r="C79" s="68">
        <v>5.2162895999999996</v>
      </c>
      <c r="D79" s="23"/>
    </row>
    <row r="80" spans="1:4" x14ac:dyDescent="0.25">
      <c r="A80">
        <v>93</v>
      </c>
      <c r="B80" s="67">
        <v>1187.6099999999999</v>
      </c>
      <c r="C80" s="68">
        <v>5.2729884</v>
      </c>
      <c r="D80" s="23"/>
    </row>
    <row r="81" spans="1:4" x14ac:dyDescent="0.25">
      <c r="A81">
        <v>94</v>
      </c>
      <c r="B81" s="67">
        <v>1200.3799999999999</v>
      </c>
      <c r="C81" s="68">
        <v>5.3296872000000004</v>
      </c>
      <c r="D81" s="23"/>
    </row>
    <row r="82" spans="1:4" x14ac:dyDescent="0.25">
      <c r="A82">
        <v>95</v>
      </c>
      <c r="B82" s="67">
        <v>1213.1499999999999</v>
      </c>
      <c r="C82" s="68">
        <v>5.3863859999999999</v>
      </c>
      <c r="D82" s="23"/>
    </row>
    <row r="83" spans="1:4" x14ac:dyDescent="0.25">
      <c r="A83">
        <v>96</v>
      </c>
      <c r="B83" s="67">
        <v>1225.92</v>
      </c>
      <c r="C83" s="68">
        <v>5.4430848000000003</v>
      </c>
      <c r="D83" s="23"/>
    </row>
    <row r="84" spans="1:4" x14ac:dyDescent="0.25">
      <c r="A84">
        <v>97</v>
      </c>
      <c r="B84" s="67">
        <v>1238.69</v>
      </c>
      <c r="C84" s="68">
        <v>5.4997836000000007</v>
      </c>
      <c r="D84" s="23"/>
    </row>
    <row r="85" spans="1:4" x14ac:dyDescent="0.25">
      <c r="A85">
        <v>98</v>
      </c>
      <c r="B85" s="67">
        <v>1251.46</v>
      </c>
      <c r="C85" s="68">
        <v>5.556482400000001</v>
      </c>
      <c r="D85" s="23"/>
    </row>
    <row r="86" spans="1:4" x14ac:dyDescent="0.25">
      <c r="A86">
        <v>99</v>
      </c>
      <c r="B86" s="67">
        <v>1264.23</v>
      </c>
      <c r="C86" s="68">
        <v>5.6131812000000005</v>
      </c>
      <c r="D86" s="23"/>
    </row>
    <row r="87" spans="1:4" x14ac:dyDescent="0.25">
      <c r="A87">
        <v>100</v>
      </c>
      <c r="B87" s="67">
        <v>1277</v>
      </c>
      <c r="C87" s="68">
        <v>5.66988</v>
      </c>
      <c r="D87" s="23"/>
    </row>
    <row r="88" spans="1:4" x14ac:dyDescent="0.25">
      <c r="A88">
        <v>101</v>
      </c>
      <c r="B88" s="67">
        <v>1289.77</v>
      </c>
      <c r="C88" s="68">
        <v>5.7265788000000004</v>
      </c>
      <c r="D88" s="23"/>
    </row>
    <row r="89" spans="1:4" x14ac:dyDescent="0.25">
      <c r="A89">
        <v>102</v>
      </c>
      <c r="B89" s="67">
        <v>1302.54</v>
      </c>
      <c r="C89" s="68">
        <v>5.7832775999999999</v>
      </c>
      <c r="D89" s="23"/>
    </row>
    <row r="90" spans="1:4" x14ac:dyDescent="0.25">
      <c r="A90">
        <v>103</v>
      </c>
      <c r="B90" s="67">
        <v>1315.31</v>
      </c>
      <c r="C90" s="68">
        <v>5.8399764000000003</v>
      </c>
      <c r="D90" s="23"/>
    </row>
    <row r="91" spans="1:4" x14ac:dyDescent="0.25">
      <c r="A91">
        <v>104</v>
      </c>
      <c r="B91" s="67">
        <v>1328.08</v>
      </c>
      <c r="C91" s="68">
        <v>5.8966752000000007</v>
      </c>
      <c r="D91" s="23"/>
    </row>
    <row r="92" spans="1:4" x14ac:dyDescent="0.25">
      <c r="A92">
        <v>105</v>
      </c>
      <c r="B92" s="67">
        <v>1340.85</v>
      </c>
      <c r="C92" s="68">
        <v>5.9533740000000002</v>
      </c>
      <c r="D92" s="23"/>
    </row>
    <row r="93" spans="1:4" x14ac:dyDescent="0.25">
      <c r="A93">
        <v>106</v>
      </c>
      <c r="B93" s="67">
        <v>1353.62</v>
      </c>
      <c r="C93" s="68">
        <v>6.0100727999999997</v>
      </c>
      <c r="D93" s="23"/>
    </row>
    <row r="94" spans="1:4" x14ac:dyDescent="0.25">
      <c r="A94">
        <v>107</v>
      </c>
      <c r="B94" s="67">
        <v>1366.3899999999999</v>
      </c>
      <c r="C94" s="68">
        <v>6.0667716</v>
      </c>
      <c r="D94" s="23"/>
    </row>
    <row r="95" spans="1:4" x14ac:dyDescent="0.25">
      <c r="A95">
        <v>108</v>
      </c>
      <c r="B95" s="67">
        <v>1379.1599999999999</v>
      </c>
      <c r="C95" s="68">
        <v>6.1234704000000004</v>
      </c>
      <c r="D95" s="23"/>
    </row>
    <row r="96" spans="1:4" x14ac:dyDescent="0.25">
      <c r="A96">
        <v>109</v>
      </c>
      <c r="B96" s="67">
        <v>1391.93</v>
      </c>
      <c r="C96" s="68">
        <v>6.1801692000000008</v>
      </c>
      <c r="D96" s="23"/>
    </row>
    <row r="97" spans="1:4" x14ac:dyDescent="0.25">
      <c r="A97">
        <v>110</v>
      </c>
      <c r="B97" s="67">
        <v>1404.7</v>
      </c>
      <c r="C97" s="68">
        <v>6.2368680000000003</v>
      </c>
      <c r="D97" s="23"/>
    </row>
    <row r="98" spans="1:4" x14ac:dyDescent="0.25">
      <c r="A98">
        <v>111</v>
      </c>
      <c r="B98" s="67">
        <v>1417.47</v>
      </c>
      <c r="C98" s="68">
        <v>6.2935668000000007</v>
      </c>
      <c r="D98" s="23"/>
    </row>
    <row r="99" spans="1:4" x14ac:dyDescent="0.25">
      <c r="A99">
        <v>112</v>
      </c>
      <c r="B99" s="67">
        <v>1430.24</v>
      </c>
      <c r="C99" s="68">
        <v>6.3502656000000011</v>
      </c>
      <c r="D99" s="23"/>
    </row>
    <row r="100" spans="1:4" x14ac:dyDescent="0.25">
      <c r="A100">
        <v>113</v>
      </c>
      <c r="B100" s="67">
        <v>1443.01</v>
      </c>
      <c r="C100" s="68">
        <v>6.4069644000000006</v>
      </c>
      <c r="D100" s="23"/>
    </row>
    <row r="101" spans="1:4" x14ac:dyDescent="0.25">
      <c r="A101">
        <v>114</v>
      </c>
      <c r="B101" s="67">
        <v>1455.78</v>
      </c>
      <c r="C101" s="68">
        <v>6.4636632000000009</v>
      </c>
      <c r="D101" s="23"/>
    </row>
    <row r="102" spans="1:4" x14ac:dyDescent="0.25">
      <c r="A102">
        <v>115</v>
      </c>
      <c r="B102" s="67">
        <v>1468.55</v>
      </c>
      <c r="C102" s="68">
        <v>6.5203620000000004</v>
      </c>
      <c r="D102" s="23"/>
    </row>
    <row r="103" spans="1:4" x14ac:dyDescent="0.25">
      <c r="A103">
        <v>116</v>
      </c>
      <c r="B103" s="67">
        <v>1481.32</v>
      </c>
      <c r="C103" s="68">
        <v>6.5770607999999999</v>
      </c>
      <c r="D103" s="23"/>
    </row>
    <row r="104" spans="1:4" x14ac:dyDescent="0.25">
      <c r="A104">
        <v>117</v>
      </c>
      <c r="B104" s="67">
        <v>1494.09</v>
      </c>
      <c r="C104" s="68">
        <v>6.6337596000000003</v>
      </c>
      <c r="D104" s="23"/>
    </row>
    <row r="105" spans="1:4" x14ac:dyDescent="0.25">
      <c r="A105">
        <v>118</v>
      </c>
      <c r="B105" s="67">
        <v>1506.86</v>
      </c>
      <c r="C105" s="68">
        <v>6.6904584000000007</v>
      </c>
      <c r="D105" s="23"/>
    </row>
    <row r="106" spans="1:4" x14ac:dyDescent="0.25">
      <c r="A106">
        <v>119</v>
      </c>
      <c r="B106" s="67">
        <v>1519.6299999999999</v>
      </c>
      <c r="C106" s="68">
        <v>6.7471571999999993</v>
      </c>
      <c r="D106" s="23"/>
    </row>
    <row r="107" spans="1:4" x14ac:dyDescent="0.25">
      <c r="A107">
        <v>120</v>
      </c>
      <c r="B107" s="67">
        <v>1532.3999999999999</v>
      </c>
      <c r="C107" s="68">
        <v>6.8038559999999997</v>
      </c>
      <c r="D107" s="23"/>
    </row>
    <row r="108" spans="1:4" x14ac:dyDescent="0.25">
      <c r="A108">
        <v>121</v>
      </c>
      <c r="B108" s="67">
        <v>1545.1699999999998</v>
      </c>
      <c r="C108" s="68">
        <v>6.8605548000000001</v>
      </c>
      <c r="D108" s="23"/>
    </row>
    <row r="109" spans="1:4" x14ac:dyDescent="0.25">
      <c r="A109">
        <v>122</v>
      </c>
      <c r="B109" s="67">
        <v>1557.94</v>
      </c>
      <c r="C109" s="68">
        <v>6.9172536000000013</v>
      </c>
      <c r="D109" s="23"/>
    </row>
    <row r="110" spans="1:4" x14ac:dyDescent="0.25">
      <c r="A110">
        <v>123</v>
      </c>
      <c r="B110" s="67">
        <v>1570.71</v>
      </c>
      <c r="C110" s="68">
        <v>6.9739524000000008</v>
      </c>
      <c r="D110" s="23"/>
    </row>
    <row r="111" spans="1:4" x14ac:dyDescent="0.25">
      <c r="A111">
        <v>124</v>
      </c>
      <c r="B111" s="67">
        <v>1583.48</v>
      </c>
      <c r="C111" s="68">
        <v>7.0306512000000012</v>
      </c>
      <c r="D111" s="23"/>
    </row>
    <row r="112" spans="1:4" x14ac:dyDescent="0.25">
      <c r="A112">
        <v>125</v>
      </c>
      <c r="B112" s="67">
        <v>1596.25</v>
      </c>
      <c r="C112" s="68">
        <v>7.0873500000000007</v>
      </c>
      <c r="D112" s="23"/>
    </row>
    <row r="113" spans="1:4" x14ac:dyDescent="0.25">
      <c r="A113">
        <v>126</v>
      </c>
      <c r="B113" s="67">
        <v>1609.02</v>
      </c>
      <c r="C113" s="68">
        <v>7.1440488000000002</v>
      </c>
      <c r="D113" s="23"/>
    </row>
    <row r="114" spans="1:4" x14ac:dyDescent="0.25">
      <c r="A114">
        <v>127</v>
      </c>
      <c r="B114" s="67">
        <v>1621.79</v>
      </c>
      <c r="C114" s="68">
        <v>7.2007476000000006</v>
      </c>
      <c r="D114" s="23"/>
    </row>
    <row r="115" spans="1:4" x14ac:dyDescent="0.25">
      <c r="A115">
        <v>128</v>
      </c>
      <c r="B115" s="67">
        <v>1634.56</v>
      </c>
      <c r="C115" s="68">
        <v>7.257446400000001</v>
      </c>
      <c r="D115" s="23"/>
    </row>
    <row r="116" spans="1:4" x14ac:dyDescent="0.25">
      <c r="A116">
        <v>129</v>
      </c>
      <c r="B116" s="67">
        <v>1647.33</v>
      </c>
      <c r="C116" s="68">
        <v>7.3141451999999996</v>
      </c>
      <c r="D116" s="23"/>
    </row>
    <row r="117" spans="1:4" x14ac:dyDescent="0.25">
      <c r="A117">
        <v>130</v>
      </c>
      <c r="B117" s="67">
        <v>1660.1</v>
      </c>
      <c r="C117" s="68">
        <v>7.370844</v>
      </c>
      <c r="D117" s="23"/>
    </row>
  </sheetData>
  <mergeCells count="2">
    <mergeCell ref="A1:C1"/>
    <mergeCell ref="E1:O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"/>
  <sheetViews>
    <sheetView workbookViewId="0">
      <selection activeCell="H10" sqref="H10"/>
    </sheetView>
  </sheetViews>
  <sheetFormatPr defaultRowHeight="15" x14ac:dyDescent="0.25"/>
  <cols>
    <col min="7" max="7" width="11.5703125" customWidth="1"/>
    <col min="8" max="8" width="12.5703125" customWidth="1"/>
    <col min="9" max="9" width="12.85546875" customWidth="1"/>
    <col min="10" max="10" width="16.7109375" customWidth="1"/>
    <col min="14" max="14" width="11.42578125" customWidth="1"/>
    <col min="19" max="19" width="10" customWidth="1"/>
    <col min="20" max="20" width="11.28515625" customWidth="1"/>
    <col min="21" max="21" width="13" customWidth="1"/>
  </cols>
  <sheetData>
    <row r="1" spans="1:21" ht="23.25" x14ac:dyDescent="0.35">
      <c r="A1" s="132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N1" s="134" t="s">
        <v>69</v>
      </c>
      <c r="O1" s="135"/>
      <c r="P1" s="135"/>
      <c r="Q1" s="135"/>
      <c r="R1" s="135"/>
      <c r="S1" s="135"/>
      <c r="T1" s="135"/>
      <c r="U1" s="136"/>
    </row>
    <row r="2" spans="1:21" ht="48.75" customHeight="1" x14ac:dyDescent="0.35">
      <c r="A2" s="10" t="s">
        <v>36</v>
      </c>
      <c r="B2" s="11" t="s">
        <v>37</v>
      </c>
      <c r="C2" s="12" t="s">
        <v>59</v>
      </c>
      <c r="D2" s="12" t="s">
        <v>61</v>
      </c>
      <c r="E2" s="12" t="s">
        <v>62</v>
      </c>
      <c r="F2" s="11" t="s">
        <v>63</v>
      </c>
      <c r="G2" s="11" t="s">
        <v>64</v>
      </c>
      <c r="H2" s="11" t="s">
        <v>65</v>
      </c>
      <c r="I2" s="11" t="s">
        <v>66</v>
      </c>
      <c r="J2" s="11" t="s">
        <v>67</v>
      </c>
      <c r="N2" s="25" t="s">
        <v>34</v>
      </c>
      <c r="O2" s="25" t="s">
        <v>35</v>
      </c>
      <c r="P2" s="26" t="s">
        <v>70</v>
      </c>
      <c r="Q2" s="27" t="s">
        <v>71</v>
      </c>
      <c r="R2" s="25" t="s">
        <v>72</v>
      </c>
      <c r="S2" s="28" t="s">
        <v>73</v>
      </c>
      <c r="T2" s="28" t="s">
        <v>74</v>
      </c>
      <c r="U2" s="28" t="s">
        <v>75</v>
      </c>
    </row>
    <row r="3" spans="1:21" x14ac:dyDescent="0.25">
      <c r="A3" s="13">
        <v>84</v>
      </c>
      <c r="B3" s="14">
        <v>560</v>
      </c>
      <c r="C3" s="15">
        <f>(Tabuľka186[[#This Row],[skrut lana (mm)]]/2)*10/1000</f>
        <v>2.8</v>
      </c>
      <c r="D3" s="17">
        <v>0.5</v>
      </c>
      <c r="E3" s="17">
        <v>0.1</v>
      </c>
      <c r="F3" s="17">
        <v>10</v>
      </c>
      <c r="G3" s="17">
        <f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f>
        <v>18</v>
      </c>
      <c r="H3" s="17">
        <f t="shared" ref="H3:H7" si="0">ROUNDUP(F3*2+C3*2+2,0)</f>
        <v>28</v>
      </c>
      <c r="I3" s="17">
        <f t="shared" ref="I3:I7" si="1">(F3*4+1)+(C3*2+1)</f>
        <v>47.6</v>
      </c>
      <c r="J3" s="14"/>
      <c r="N3" s="54">
        <v>560</v>
      </c>
      <c r="O3" s="54">
        <f>N3*5/1000</f>
        <v>2.8</v>
      </c>
      <c r="P3" s="54">
        <v>2</v>
      </c>
      <c r="Q3" s="54">
        <v>2</v>
      </c>
      <c r="R3" s="54">
        <v>20</v>
      </c>
      <c r="S3" s="9">
        <f>ROUNDUP(IF(Tabuľka2[[#This Row],[velkost oka  2   (m)           ]]&gt;0,Tabuľka2[[#This Row],[Dĺžka zápletu (m)]]+0.25,0)+IF(Tabuľka2[[#This Row],[velkost oka  1   (m)           ]]&gt;0,Tabuľka2[[#This Row],[Dĺžka zápletu (m)]]+0.25,0)+Tabuľka2[[#This Row],[velkost oka  1   (m)           ]]+Tabuľka2[[#This Row],[velkost oka  2   (m)           ]]+Tabuľka2[[#This Row],[finálna dĺžka    (m)]]+2,0)</f>
        <v>33</v>
      </c>
      <c r="T3" s="54">
        <f>ROUNDUP(IF(Tabuľka2[finálna dĺžka    (m)]&gt;0,Tabuľka2[Dĺžka zápletu (m)]*2+Tabuľka2[finálna dĺžka    (m)]*2,0)+2,0)</f>
        <v>48</v>
      </c>
      <c r="U3" s="54">
        <f>ROUNDUP(IF(Tabuľka2[finálna dĺžka    (m)]&gt;0,Tabuľka2[Dĺžka zápletu (m)]*2+Tabuľka2[finálna dĺžka    (m)]*4,0)+2,0)</f>
        <v>88</v>
      </c>
    </row>
    <row r="4" spans="1:21" x14ac:dyDescent="0.25">
      <c r="A4" s="18">
        <v>88</v>
      </c>
      <c r="B4" s="19">
        <v>693</v>
      </c>
      <c r="C4" s="15">
        <f>(Tabuľka186[[#This Row],[skrut lana (mm)]]/2)*10/1000</f>
        <v>3.4649999999999999</v>
      </c>
      <c r="D4" s="17">
        <v>0.5</v>
      </c>
      <c r="E4" s="17">
        <v>0.1</v>
      </c>
      <c r="F4" s="22">
        <v>10</v>
      </c>
      <c r="G4" s="17">
        <f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f>
        <v>19</v>
      </c>
      <c r="H4" s="22">
        <f t="shared" si="0"/>
        <v>29</v>
      </c>
      <c r="I4" s="17">
        <f t="shared" si="1"/>
        <v>48.93</v>
      </c>
      <c r="J4" s="19"/>
    </row>
    <row r="5" spans="1:21" x14ac:dyDescent="0.25">
      <c r="A5" s="13">
        <v>94</v>
      </c>
      <c r="B5" s="14">
        <v>636</v>
      </c>
      <c r="C5" s="15">
        <f>(Tabuľka186[[#This Row],[skrut lana (mm)]]/2)*10/1000</f>
        <v>3.18</v>
      </c>
      <c r="D5" s="17">
        <v>0.5</v>
      </c>
      <c r="E5" s="17">
        <v>0.1</v>
      </c>
      <c r="F5" s="17">
        <v>10</v>
      </c>
      <c r="G5" s="17">
        <f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f>
        <v>18</v>
      </c>
      <c r="H5" s="17">
        <f t="shared" si="0"/>
        <v>29</v>
      </c>
      <c r="I5" s="17">
        <f t="shared" si="1"/>
        <v>48.36</v>
      </c>
      <c r="J5" s="14"/>
    </row>
    <row r="6" spans="1:21" x14ac:dyDescent="0.25">
      <c r="A6" s="18">
        <v>96</v>
      </c>
      <c r="B6" s="19">
        <v>650</v>
      </c>
      <c r="C6" s="15">
        <f>(Tabuľka186[[#This Row],[skrut lana (mm)]]/2)*10/1000</f>
        <v>3.25</v>
      </c>
      <c r="D6" s="17">
        <v>0.5</v>
      </c>
      <c r="E6" s="17">
        <v>0.1</v>
      </c>
      <c r="F6" s="22">
        <v>10</v>
      </c>
      <c r="G6" s="17">
        <f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f>
        <v>19</v>
      </c>
      <c r="H6" s="22">
        <f t="shared" si="0"/>
        <v>29</v>
      </c>
      <c r="I6" s="17">
        <f t="shared" si="1"/>
        <v>48.5</v>
      </c>
      <c r="J6" s="19"/>
    </row>
    <row r="7" spans="1:21" x14ac:dyDescent="0.25">
      <c r="A7" s="13">
        <v>104</v>
      </c>
      <c r="B7" s="14">
        <v>820</v>
      </c>
      <c r="C7" s="15">
        <f>(Tabuľka186[[#This Row],[skrut lana (mm)]]/2)*10/1000</f>
        <v>4.0999999999999996</v>
      </c>
      <c r="D7" s="17">
        <v>0.5</v>
      </c>
      <c r="E7" s="17">
        <v>0.1</v>
      </c>
      <c r="F7" s="17">
        <v>10</v>
      </c>
      <c r="G7" s="17">
        <f>ROUNDUP(IF(Tabuľka186[[#This Row],[velkosť oka   1                (m)]]&gt;0,Tabuľka186[[#This Row],[velkosť oka   1                (m)]]+Tabuľka186[[#This Row],[dĺžka zápletu (mm)]])+IF(Tabuľka186[[#This Row],[velkosť oka   2                (m)]]&gt;0,Tabuľka186[[#This Row],[velkosť oka   2                (m)]]+Tabuľka186[[#This Row],[dĺžka zápletu (mm)]])+Tabuľka186[[#This Row],[finálna dĺžka]]+1,0)</f>
        <v>20</v>
      </c>
      <c r="H7" s="17">
        <f t="shared" si="0"/>
        <v>31</v>
      </c>
      <c r="I7" s="17">
        <f t="shared" si="1"/>
        <v>50.2</v>
      </c>
      <c r="J7" s="14"/>
    </row>
  </sheetData>
  <sheetProtection algorithmName="SHA-512" hashValue="OUOMo8s9FIzFTpG7GOXZ5m6TS111tVk53xXIPINLzz4btoaNqk9DKYOzMLCF6Fm/JDGAwn0u5V5kECJ7+GE70Q==" saltValue="LMwrt1FRq9xzq4nw49dGPg==" spinCount="100000" sheet="1" objects="1" scenarios="1"/>
  <mergeCells count="2">
    <mergeCell ref="A1:J1"/>
    <mergeCell ref="N1:U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5CAC-F743-4980-A752-E2211A103061}">
  <dimension ref="A1:C40"/>
  <sheetViews>
    <sheetView workbookViewId="0">
      <selection activeCell="I11" sqref="I11"/>
    </sheetView>
  </sheetViews>
  <sheetFormatPr defaultRowHeight="15" x14ac:dyDescent="0.25"/>
  <sheetData>
    <row r="1" spans="1:3" ht="38.25" x14ac:dyDescent="0.25">
      <c r="A1" s="6" t="s">
        <v>33</v>
      </c>
      <c r="B1" s="61" t="s">
        <v>34</v>
      </c>
      <c r="C1" s="5" t="s">
        <v>35</v>
      </c>
    </row>
    <row r="2" spans="1:3" x14ac:dyDescent="0.25">
      <c r="A2" s="89">
        <v>8</v>
      </c>
      <c r="B2" s="89"/>
      <c r="C2" s="90">
        <v>0.5</v>
      </c>
    </row>
    <row r="3" spans="1:3" x14ac:dyDescent="0.25">
      <c r="A3" s="7">
        <v>9</v>
      </c>
      <c r="B3" s="7"/>
      <c r="C3" s="90">
        <v>0.5</v>
      </c>
    </row>
    <row r="4" spans="1:3" x14ac:dyDescent="0.25">
      <c r="A4" s="89">
        <v>10</v>
      </c>
      <c r="B4" s="89"/>
      <c r="C4" s="90">
        <v>0.6</v>
      </c>
    </row>
    <row r="5" spans="1:3" x14ac:dyDescent="0.25">
      <c r="A5" s="7">
        <v>11</v>
      </c>
      <c r="B5" s="7"/>
      <c r="C5" s="90">
        <v>0.6</v>
      </c>
    </row>
    <row r="6" spans="1:3" x14ac:dyDescent="0.25">
      <c r="A6" s="89">
        <v>12</v>
      </c>
      <c r="B6" s="89"/>
      <c r="C6" s="90">
        <v>0.6</v>
      </c>
    </row>
    <row r="7" spans="1:3" x14ac:dyDescent="0.25">
      <c r="A7" s="82">
        <v>14</v>
      </c>
      <c r="B7" s="82">
        <v>132</v>
      </c>
      <c r="C7" s="83">
        <f t="shared" ref="C7:C36" si="0">(B7/6)*28/1000</f>
        <v>0.61599999999999999</v>
      </c>
    </row>
    <row r="8" spans="1:3" x14ac:dyDescent="0.25">
      <c r="A8" s="7">
        <v>16</v>
      </c>
      <c r="B8" s="7">
        <v>151</v>
      </c>
      <c r="C8" s="8">
        <f t="shared" si="0"/>
        <v>0.70466666666666677</v>
      </c>
    </row>
    <row r="9" spans="1:3" x14ac:dyDescent="0.25">
      <c r="A9" s="82">
        <v>18</v>
      </c>
      <c r="B9" s="82">
        <v>170</v>
      </c>
      <c r="C9" s="83">
        <f t="shared" si="0"/>
        <v>0.79333333333333322</v>
      </c>
    </row>
    <row r="10" spans="1:3" x14ac:dyDescent="0.25">
      <c r="A10" s="7">
        <v>20</v>
      </c>
      <c r="B10" s="7">
        <v>189</v>
      </c>
      <c r="C10" s="8">
        <f t="shared" si="0"/>
        <v>0.88200000000000001</v>
      </c>
    </row>
    <row r="11" spans="1:3" x14ac:dyDescent="0.25">
      <c r="A11" s="82">
        <v>22</v>
      </c>
      <c r="B11" s="82">
        <v>208</v>
      </c>
      <c r="C11" s="83">
        <f t="shared" si="0"/>
        <v>0.97066666666666668</v>
      </c>
    </row>
    <row r="12" spans="1:3" x14ac:dyDescent="0.25">
      <c r="A12" s="7">
        <v>24</v>
      </c>
      <c r="B12" s="7">
        <v>227</v>
      </c>
      <c r="C12" s="8">
        <f t="shared" si="0"/>
        <v>1.0593333333333335</v>
      </c>
    </row>
    <row r="13" spans="1:3" x14ac:dyDescent="0.25">
      <c r="A13" s="82">
        <v>26</v>
      </c>
      <c r="B13" s="82">
        <v>245</v>
      </c>
      <c r="C13" s="83">
        <f t="shared" si="0"/>
        <v>1.1433333333333335</v>
      </c>
    </row>
    <row r="14" spans="1:3" x14ac:dyDescent="0.25">
      <c r="A14" s="7">
        <v>28</v>
      </c>
      <c r="B14" s="7">
        <v>264</v>
      </c>
      <c r="C14" s="8">
        <f t="shared" si="0"/>
        <v>1.232</v>
      </c>
    </row>
    <row r="15" spans="1:3" x14ac:dyDescent="0.25">
      <c r="A15" s="82">
        <v>30</v>
      </c>
      <c r="B15" s="82">
        <v>283</v>
      </c>
      <c r="C15" s="83">
        <f t="shared" si="0"/>
        <v>1.3206666666666664</v>
      </c>
    </row>
    <row r="16" spans="1:3" x14ac:dyDescent="0.25">
      <c r="A16" s="7">
        <v>32</v>
      </c>
      <c r="B16" s="7">
        <v>302</v>
      </c>
      <c r="C16" s="8">
        <f t="shared" si="0"/>
        <v>1.4093333333333335</v>
      </c>
    </row>
    <row r="17" spans="1:3" x14ac:dyDescent="0.25">
      <c r="A17" s="82">
        <v>34</v>
      </c>
      <c r="B17" s="82">
        <v>321</v>
      </c>
      <c r="C17" s="83">
        <f t="shared" si="0"/>
        <v>1.498</v>
      </c>
    </row>
    <row r="18" spans="1:3" x14ac:dyDescent="0.25">
      <c r="A18" s="7">
        <v>36</v>
      </c>
      <c r="B18" s="7">
        <v>340</v>
      </c>
      <c r="C18" s="8">
        <f t="shared" si="0"/>
        <v>1.5866666666666664</v>
      </c>
    </row>
    <row r="19" spans="1:3" x14ac:dyDescent="0.25">
      <c r="A19" s="82">
        <v>38</v>
      </c>
      <c r="B19" s="82">
        <v>359</v>
      </c>
      <c r="C19" s="83">
        <f t="shared" si="0"/>
        <v>1.6753333333333336</v>
      </c>
    </row>
    <row r="20" spans="1:3" x14ac:dyDescent="0.25">
      <c r="A20" s="7">
        <v>40</v>
      </c>
      <c r="B20" s="7">
        <v>378</v>
      </c>
      <c r="C20" s="8">
        <f t="shared" si="0"/>
        <v>1.764</v>
      </c>
    </row>
    <row r="21" spans="1:3" x14ac:dyDescent="0.25">
      <c r="A21" s="82">
        <v>42</v>
      </c>
      <c r="B21" s="82">
        <v>396</v>
      </c>
      <c r="C21" s="83">
        <f t="shared" si="0"/>
        <v>1.8480000000000001</v>
      </c>
    </row>
    <row r="22" spans="1:3" x14ac:dyDescent="0.25">
      <c r="A22" s="7">
        <v>44</v>
      </c>
      <c r="B22" s="7">
        <v>414</v>
      </c>
      <c r="C22" s="8">
        <f t="shared" si="0"/>
        <v>1.9319999999999999</v>
      </c>
    </row>
    <row r="23" spans="1:3" x14ac:dyDescent="0.25">
      <c r="A23" s="82">
        <v>46</v>
      </c>
      <c r="B23" s="82">
        <v>423</v>
      </c>
      <c r="C23" s="83">
        <f t="shared" si="0"/>
        <v>1.974</v>
      </c>
    </row>
    <row r="24" spans="1:3" x14ac:dyDescent="0.25">
      <c r="A24" s="7">
        <v>48</v>
      </c>
      <c r="B24" s="7">
        <v>453</v>
      </c>
      <c r="C24" s="8">
        <f t="shared" si="0"/>
        <v>2.1139999999999999</v>
      </c>
    </row>
    <row r="25" spans="1:3" x14ac:dyDescent="0.25">
      <c r="A25" s="82">
        <v>50</v>
      </c>
      <c r="B25" s="82">
        <v>472</v>
      </c>
      <c r="C25" s="83">
        <f t="shared" si="0"/>
        <v>2.202666666666667</v>
      </c>
    </row>
    <row r="26" spans="1:3" x14ac:dyDescent="0.25">
      <c r="A26" s="7">
        <v>52</v>
      </c>
      <c r="B26" s="7">
        <v>491</v>
      </c>
      <c r="C26" s="8">
        <f t="shared" si="0"/>
        <v>2.2913333333333332</v>
      </c>
    </row>
    <row r="27" spans="1:3" x14ac:dyDescent="0.25">
      <c r="A27" s="82">
        <v>56</v>
      </c>
      <c r="B27" s="82">
        <v>529</v>
      </c>
      <c r="C27" s="83">
        <f t="shared" si="0"/>
        <v>2.468666666666667</v>
      </c>
    </row>
    <row r="28" spans="1:3" x14ac:dyDescent="0.25">
      <c r="A28" s="7">
        <v>60</v>
      </c>
      <c r="B28" s="7">
        <v>566</v>
      </c>
      <c r="C28" s="8">
        <f t="shared" si="0"/>
        <v>2.6413333333333329</v>
      </c>
    </row>
    <row r="29" spans="1:3" x14ac:dyDescent="0.25">
      <c r="A29" s="82">
        <v>64</v>
      </c>
      <c r="B29" s="82">
        <v>604</v>
      </c>
      <c r="C29" s="83">
        <f t="shared" si="0"/>
        <v>2.8186666666666671</v>
      </c>
    </row>
    <row r="30" spans="1:3" x14ac:dyDescent="0.25">
      <c r="A30" s="7">
        <v>66</v>
      </c>
      <c r="B30" s="7">
        <v>625</v>
      </c>
      <c r="C30" s="8">
        <f t="shared" si="0"/>
        <v>2.916666666666667</v>
      </c>
    </row>
    <row r="31" spans="1:3" x14ac:dyDescent="0.25">
      <c r="A31" s="82">
        <v>68</v>
      </c>
      <c r="B31" s="82">
        <v>642</v>
      </c>
      <c r="C31" s="83">
        <f t="shared" si="0"/>
        <v>2.996</v>
      </c>
    </row>
    <row r="32" spans="1:3" x14ac:dyDescent="0.25">
      <c r="A32" s="7">
        <v>70</v>
      </c>
      <c r="B32" s="7">
        <v>661</v>
      </c>
      <c r="C32" s="8">
        <f t="shared" si="0"/>
        <v>3.0846666666666671</v>
      </c>
    </row>
    <row r="33" spans="1:3" x14ac:dyDescent="0.25">
      <c r="A33" s="82">
        <v>72</v>
      </c>
      <c r="B33" s="82">
        <v>680</v>
      </c>
      <c r="C33" s="83">
        <f t="shared" si="0"/>
        <v>3.1733333333333329</v>
      </c>
    </row>
    <row r="34" spans="1:3" x14ac:dyDescent="0.25">
      <c r="A34" s="7">
        <v>74</v>
      </c>
      <c r="B34" s="7">
        <v>699</v>
      </c>
      <c r="C34" s="8">
        <f t="shared" si="0"/>
        <v>3.262</v>
      </c>
    </row>
    <row r="35" spans="1:3" x14ac:dyDescent="0.25">
      <c r="A35" s="82">
        <v>78</v>
      </c>
      <c r="B35" s="82">
        <v>736</v>
      </c>
      <c r="C35" s="83">
        <f t="shared" si="0"/>
        <v>3.4346666666666668</v>
      </c>
    </row>
    <row r="36" spans="1:3" x14ac:dyDescent="0.25">
      <c r="A36" s="84">
        <v>80</v>
      </c>
      <c r="B36" s="84">
        <v>755</v>
      </c>
      <c r="C36" s="8">
        <f t="shared" si="0"/>
        <v>3.523333333333333</v>
      </c>
    </row>
    <row r="37" spans="1:3" x14ac:dyDescent="0.25">
      <c r="A37" s="85">
        <v>102</v>
      </c>
      <c r="B37" s="85">
        <v>939</v>
      </c>
      <c r="C37" s="86">
        <f>(B37/6)*28/1000</f>
        <v>4.3819999999999997</v>
      </c>
    </row>
    <row r="38" spans="1:3" x14ac:dyDescent="0.25">
      <c r="A38" s="84">
        <v>100</v>
      </c>
      <c r="B38" s="84">
        <v>939</v>
      </c>
      <c r="C38" s="87">
        <f>(B38/6)*28/1000</f>
        <v>4.3819999999999997</v>
      </c>
    </row>
    <row r="39" spans="1:3" x14ac:dyDescent="0.25">
      <c r="A39" s="82">
        <v>114</v>
      </c>
      <c r="B39" s="82">
        <v>1102</v>
      </c>
      <c r="C39" s="88">
        <f>(B39/6)*28/1000</f>
        <v>5.1426666666666661</v>
      </c>
    </row>
    <row r="40" spans="1:3" x14ac:dyDescent="0.25">
      <c r="A40" s="76">
        <v>80</v>
      </c>
      <c r="B40" s="76">
        <v>755</v>
      </c>
      <c r="C40" s="79">
        <v>3.5249999999999999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08F0-917F-4D16-837E-16545E1FC53E}">
  <dimension ref="A1:C34"/>
  <sheetViews>
    <sheetView workbookViewId="0">
      <selection activeCell="L9" sqref="L9:L11"/>
    </sheetView>
  </sheetViews>
  <sheetFormatPr defaultRowHeight="15" x14ac:dyDescent="0.25"/>
  <sheetData>
    <row r="1" spans="1:3" ht="39" x14ac:dyDescent="0.25">
      <c r="A1" s="92" t="s">
        <v>36</v>
      </c>
      <c r="B1" s="92" t="s">
        <v>37</v>
      </c>
      <c r="C1" s="93" t="s">
        <v>38</v>
      </c>
    </row>
    <row r="2" spans="1:3" x14ac:dyDescent="0.25">
      <c r="A2" s="94">
        <v>6</v>
      </c>
      <c r="B2" s="94">
        <v>77</v>
      </c>
      <c r="C2" s="95">
        <f t="shared" ref="C2:C33" si="0">B2/6*28/1000</f>
        <v>0.35933333333333339</v>
      </c>
    </row>
    <row r="3" spans="1:3" x14ac:dyDescent="0.25">
      <c r="A3" s="96">
        <v>7</v>
      </c>
      <c r="B3" s="96">
        <v>89</v>
      </c>
      <c r="C3" s="97">
        <f t="shared" si="0"/>
        <v>0.41533333333333339</v>
      </c>
    </row>
    <row r="4" spans="1:3" x14ac:dyDescent="0.25">
      <c r="A4" s="94">
        <v>8</v>
      </c>
      <c r="B4" s="94">
        <v>102</v>
      </c>
      <c r="C4" s="95">
        <f t="shared" si="0"/>
        <v>0.47599999999999998</v>
      </c>
    </row>
    <row r="5" spans="1:3" x14ac:dyDescent="0.25">
      <c r="A5" s="96">
        <v>10</v>
      </c>
      <c r="B5" s="96">
        <v>128</v>
      </c>
      <c r="C5" s="97">
        <f t="shared" si="0"/>
        <v>0.59733333333333327</v>
      </c>
    </row>
    <row r="6" spans="1:3" x14ac:dyDescent="0.25">
      <c r="A6" s="94">
        <v>12</v>
      </c>
      <c r="B6" s="94">
        <v>153</v>
      </c>
      <c r="C6" s="95">
        <f t="shared" si="0"/>
        <v>0.71399999999999997</v>
      </c>
    </row>
    <row r="7" spans="1:3" x14ac:dyDescent="0.25">
      <c r="A7" s="96">
        <v>14</v>
      </c>
      <c r="B7" s="96">
        <v>179</v>
      </c>
      <c r="C7" s="97">
        <f t="shared" si="0"/>
        <v>0.83533333333333326</v>
      </c>
    </row>
    <row r="8" spans="1:3" x14ac:dyDescent="0.25">
      <c r="A8" s="94">
        <v>14</v>
      </c>
      <c r="B8" s="94">
        <v>179</v>
      </c>
      <c r="C8" s="95">
        <f t="shared" si="0"/>
        <v>0.83533333333333326</v>
      </c>
    </row>
    <row r="9" spans="1:3" x14ac:dyDescent="0.25">
      <c r="A9" s="96">
        <v>16</v>
      </c>
      <c r="B9" s="96">
        <v>204</v>
      </c>
      <c r="C9" s="97">
        <f t="shared" si="0"/>
        <v>0.95199999999999996</v>
      </c>
    </row>
    <row r="10" spans="1:3" x14ac:dyDescent="0.25">
      <c r="A10" s="94">
        <v>18</v>
      </c>
      <c r="B10" s="94">
        <v>243</v>
      </c>
      <c r="C10" s="95">
        <f t="shared" si="0"/>
        <v>1.1339999999999999</v>
      </c>
    </row>
    <row r="11" spans="1:3" x14ac:dyDescent="0.25">
      <c r="A11" s="96">
        <v>20</v>
      </c>
      <c r="B11" s="96">
        <v>255</v>
      </c>
      <c r="C11" s="97">
        <f t="shared" si="0"/>
        <v>1.19</v>
      </c>
    </row>
    <row r="12" spans="1:3" x14ac:dyDescent="0.25">
      <c r="A12" s="94">
        <v>21</v>
      </c>
      <c r="B12" s="94">
        <v>268</v>
      </c>
      <c r="C12" s="95">
        <f t="shared" si="0"/>
        <v>1.2506666666666666</v>
      </c>
    </row>
    <row r="13" spans="1:3" x14ac:dyDescent="0.25">
      <c r="A13" s="96">
        <v>22</v>
      </c>
      <c r="B13" s="96">
        <v>281</v>
      </c>
      <c r="C13" s="97">
        <f t="shared" si="0"/>
        <v>1.3113333333333335</v>
      </c>
    </row>
    <row r="14" spans="1:3" x14ac:dyDescent="0.25">
      <c r="A14" s="94">
        <v>23</v>
      </c>
      <c r="B14" s="94">
        <v>294</v>
      </c>
      <c r="C14" s="95">
        <f t="shared" si="0"/>
        <v>1.3720000000000001</v>
      </c>
    </row>
    <row r="15" spans="1:3" x14ac:dyDescent="0.25">
      <c r="A15" s="96">
        <v>24</v>
      </c>
      <c r="B15" s="96">
        <v>306</v>
      </c>
      <c r="C15" s="97">
        <f t="shared" si="0"/>
        <v>1.4279999999999999</v>
      </c>
    </row>
    <row r="16" spans="1:3" x14ac:dyDescent="0.25">
      <c r="A16" s="94">
        <v>26</v>
      </c>
      <c r="B16" s="94">
        <v>306</v>
      </c>
      <c r="C16" s="95">
        <f t="shared" si="0"/>
        <v>1.4279999999999999</v>
      </c>
    </row>
    <row r="17" spans="1:3" x14ac:dyDescent="0.25">
      <c r="A17" s="96">
        <v>26</v>
      </c>
      <c r="B17" s="96">
        <v>319</v>
      </c>
      <c r="C17" s="97">
        <f t="shared" si="0"/>
        <v>1.4886666666666666</v>
      </c>
    </row>
    <row r="18" spans="1:3" x14ac:dyDescent="0.25">
      <c r="A18" s="94">
        <v>28</v>
      </c>
      <c r="B18" s="94">
        <v>332</v>
      </c>
      <c r="C18" s="95">
        <f t="shared" si="0"/>
        <v>1.5493333333333335</v>
      </c>
    </row>
    <row r="19" spans="1:3" x14ac:dyDescent="0.25">
      <c r="A19" s="96">
        <v>30</v>
      </c>
      <c r="B19" s="96">
        <v>386</v>
      </c>
      <c r="C19" s="97">
        <f t="shared" si="0"/>
        <v>1.8013333333333332</v>
      </c>
    </row>
    <row r="20" spans="1:3" x14ac:dyDescent="0.25">
      <c r="A20" s="94">
        <v>32</v>
      </c>
      <c r="B20" s="94">
        <v>409</v>
      </c>
      <c r="C20" s="95">
        <f t="shared" si="0"/>
        <v>1.9086666666666667</v>
      </c>
    </row>
    <row r="21" spans="1:3" x14ac:dyDescent="0.25">
      <c r="A21" s="96">
        <v>34</v>
      </c>
      <c r="B21" s="96">
        <v>434</v>
      </c>
      <c r="C21" s="97">
        <f t="shared" si="0"/>
        <v>2.0253333333333332</v>
      </c>
    </row>
    <row r="22" spans="1:3" x14ac:dyDescent="0.25">
      <c r="A22" s="94">
        <v>36</v>
      </c>
      <c r="B22" s="94">
        <v>460</v>
      </c>
      <c r="C22" s="95">
        <f t="shared" si="0"/>
        <v>2.1466666666666669</v>
      </c>
    </row>
    <row r="23" spans="1:3" x14ac:dyDescent="0.25">
      <c r="A23" s="96">
        <v>38</v>
      </c>
      <c r="B23" s="96">
        <v>485</v>
      </c>
      <c r="C23" s="97">
        <f t="shared" si="0"/>
        <v>2.2633333333333332</v>
      </c>
    </row>
    <row r="24" spans="1:3" x14ac:dyDescent="0.25">
      <c r="A24" s="94">
        <v>38</v>
      </c>
      <c r="B24" s="94">
        <v>460</v>
      </c>
      <c r="C24" s="95">
        <f t="shared" si="0"/>
        <v>2.1466666666666669</v>
      </c>
    </row>
    <row r="25" spans="1:3" x14ac:dyDescent="0.25">
      <c r="A25" s="96">
        <v>40</v>
      </c>
      <c r="B25" s="96">
        <v>485</v>
      </c>
      <c r="C25" s="97">
        <f t="shared" si="0"/>
        <v>2.2633333333333332</v>
      </c>
    </row>
    <row r="26" spans="1:3" x14ac:dyDescent="0.25">
      <c r="A26" s="94">
        <v>43</v>
      </c>
      <c r="B26" s="94">
        <v>524</v>
      </c>
      <c r="C26" s="95">
        <f t="shared" si="0"/>
        <v>2.4453333333333331</v>
      </c>
    </row>
    <row r="27" spans="1:3" x14ac:dyDescent="0.25">
      <c r="A27" s="96">
        <v>44</v>
      </c>
      <c r="B27" s="96">
        <v>549</v>
      </c>
      <c r="C27" s="97">
        <f t="shared" si="0"/>
        <v>2.5619999999999998</v>
      </c>
    </row>
    <row r="28" spans="1:3" x14ac:dyDescent="0.25">
      <c r="A28" s="94">
        <v>46</v>
      </c>
      <c r="B28" s="94">
        <v>561</v>
      </c>
      <c r="C28" s="95">
        <f t="shared" si="0"/>
        <v>2.6179999999999999</v>
      </c>
    </row>
    <row r="29" spans="1:3" x14ac:dyDescent="0.25">
      <c r="A29" s="96">
        <v>46</v>
      </c>
      <c r="B29" s="96">
        <v>561</v>
      </c>
      <c r="C29" s="97">
        <f t="shared" si="0"/>
        <v>2.6179999999999999</v>
      </c>
    </row>
    <row r="30" spans="1:3" x14ac:dyDescent="0.25">
      <c r="A30" s="94">
        <v>48</v>
      </c>
      <c r="B30" s="94">
        <v>575</v>
      </c>
      <c r="C30" s="95">
        <f t="shared" si="0"/>
        <v>2.6833333333333331</v>
      </c>
    </row>
    <row r="31" spans="1:3" x14ac:dyDescent="0.25">
      <c r="A31" s="96">
        <v>52</v>
      </c>
      <c r="B31" s="96">
        <v>607</v>
      </c>
      <c r="C31" s="97">
        <f t="shared" si="0"/>
        <v>2.8326666666666669</v>
      </c>
    </row>
    <row r="32" spans="1:3" x14ac:dyDescent="0.25">
      <c r="A32" s="94">
        <v>56</v>
      </c>
      <c r="B32" s="94">
        <v>670</v>
      </c>
      <c r="C32" s="95">
        <f t="shared" si="0"/>
        <v>3.1266666666666669</v>
      </c>
    </row>
    <row r="33" spans="1:3" x14ac:dyDescent="0.25">
      <c r="A33" s="96">
        <v>68</v>
      </c>
      <c r="B33" s="96">
        <v>770</v>
      </c>
      <c r="C33" s="97">
        <f t="shared" si="0"/>
        <v>3.5933333333333333</v>
      </c>
    </row>
    <row r="34" spans="1:3" x14ac:dyDescent="0.25">
      <c r="A34" s="98">
        <v>116</v>
      </c>
      <c r="B34" s="98">
        <v>1341</v>
      </c>
      <c r="C34" s="99">
        <f>B34/6*28/1000</f>
        <v>6.258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0463-3288-4068-B2A1-87A0433AB57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workbookViewId="0">
      <selection activeCell="J2" sqref="J2"/>
    </sheetView>
  </sheetViews>
  <sheetFormatPr defaultRowHeight="15" x14ac:dyDescent="0.25"/>
  <cols>
    <col min="1" max="1" width="22" customWidth="1"/>
    <col min="5" max="5" width="31.85546875" customWidth="1"/>
    <col min="8" max="8" width="28.140625" customWidth="1"/>
    <col min="13" max="13" width="14.42578125" customWidth="1"/>
  </cols>
  <sheetData>
    <row r="1" spans="1:14" x14ac:dyDescent="0.25">
      <c r="A1" s="128" t="s">
        <v>39</v>
      </c>
      <c r="B1" s="128"/>
      <c r="E1" s="129" t="s">
        <v>40</v>
      </c>
      <c r="F1" s="129"/>
      <c r="H1" s="129" t="s">
        <v>41</v>
      </c>
      <c r="I1" s="129"/>
      <c r="J1" s="44"/>
      <c r="L1" s="129" t="s">
        <v>42</v>
      </c>
      <c r="M1" s="129"/>
      <c r="N1" s="44"/>
    </row>
    <row r="2" spans="1:14" x14ac:dyDescent="0.25">
      <c r="A2" s="54" t="s">
        <v>43</v>
      </c>
      <c r="B2" s="36">
        <f>'kalkulátor rezných dĺžok'!B10</f>
        <v>70</v>
      </c>
      <c r="C2" s="45">
        <f>B3/6*28/1000</f>
        <v>3.7470588235293736</v>
      </c>
      <c r="E2" s="54" t="s">
        <v>43</v>
      </c>
      <c r="F2" s="36">
        <v>78</v>
      </c>
      <c r="H2" s="54" t="s">
        <v>43</v>
      </c>
      <c r="I2" s="36">
        <f>'kalkulátor rezných dĺžok'!B11</f>
        <v>76</v>
      </c>
      <c r="J2" s="46">
        <f>I3/6*28/1000</f>
        <v>3.5821333333333332</v>
      </c>
      <c r="L2" s="54" t="s">
        <v>43</v>
      </c>
      <c r="M2" s="36">
        <v>72</v>
      </c>
      <c r="N2" s="46">
        <f>M3/6*28/1000</f>
        <v>2.8675584000000001</v>
      </c>
    </row>
    <row r="3" spans="1:14" x14ac:dyDescent="0.25">
      <c r="A3" s="54" t="s">
        <v>44</v>
      </c>
      <c r="B3" s="37">
        <f>B2*11.470588235294</f>
        <v>802.94117647057999</v>
      </c>
      <c r="C3" s="43"/>
      <c r="E3" s="54" t="s">
        <v>44</v>
      </c>
      <c r="F3" s="37">
        <f>F2*6.4347826</f>
        <v>501.91304280000003</v>
      </c>
      <c r="H3" s="54" t="s">
        <v>44</v>
      </c>
      <c r="I3" s="37">
        <f>I2*10.1</f>
        <v>767.6</v>
      </c>
      <c r="J3" s="43"/>
      <c r="L3" s="54" t="s">
        <v>44</v>
      </c>
      <c r="M3" s="37">
        <f>M2*8.5344</f>
        <v>614.47680000000003</v>
      </c>
      <c r="N3" s="43"/>
    </row>
    <row r="4" spans="1:14" x14ac:dyDescent="0.25">
      <c r="B4" s="43"/>
      <c r="C4" s="43"/>
      <c r="F4" s="43"/>
      <c r="I4" s="43"/>
      <c r="J4" s="43"/>
    </row>
  </sheetData>
  <sheetProtection algorithmName="SHA-512" hashValue="PQYvzCMmMgMQbzb23rJ+zoRDR7Hq8JY83j3EXGwxePSPq4l0LLDsZQf1PJq9OgiSWj2g4YzVETM9CBCWlKZEzQ==" saltValue="jxjZWVYtD/8HwQQ8Ezh34w==" spinCount="100000" sheet="1" objects="1" scenarios="1"/>
  <mergeCells count="4">
    <mergeCell ref="A1:B1"/>
    <mergeCell ref="E1:F1"/>
    <mergeCell ref="H1:I1"/>
    <mergeCell ref="L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5988F-99CF-4F3A-91F8-0BF73B662DF4}">
  <dimension ref="A1:C117"/>
  <sheetViews>
    <sheetView workbookViewId="0">
      <selection activeCell="A39" sqref="A39:XFD39"/>
    </sheetView>
  </sheetViews>
  <sheetFormatPr defaultRowHeight="15" x14ac:dyDescent="0.25"/>
  <cols>
    <col min="3" max="3" width="9.140625" style="23"/>
  </cols>
  <sheetData>
    <row r="1" spans="1:3" ht="38.25" x14ac:dyDescent="0.25">
      <c r="A1" s="72" t="s">
        <v>33</v>
      </c>
      <c r="B1" s="73" t="s">
        <v>34</v>
      </c>
      <c r="C1" s="74" t="s">
        <v>35</v>
      </c>
    </row>
    <row r="2" spans="1:3" x14ac:dyDescent="0.25">
      <c r="A2" s="75">
        <v>14</v>
      </c>
      <c r="B2" s="75">
        <f>A2*12.77</f>
        <v>178.78</v>
      </c>
      <c r="C2" s="80">
        <f>(B2*5.05)/1000</f>
        <v>0.90283899999999995</v>
      </c>
    </row>
    <row r="3" spans="1:3" x14ac:dyDescent="0.25">
      <c r="A3" s="76">
        <v>16</v>
      </c>
      <c r="B3" s="76">
        <f t="shared" ref="B3:B66" si="0">A3*12.77</f>
        <v>204.32</v>
      </c>
      <c r="C3" s="81">
        <f t="shared" ref="C3:C66" si="1">(B3*5.05)/1000</f>
        <v>1.0318160000000001</v>
      </c>
    </row>
    <row r="4" spans="1:3" x14ac:dyDescent="0.25">
      <c r="A4" s="77">
        <v>17</v>
      </c>
      <c r="B4" s="75">
        <f t="shared" si="0"/>
        <v>217.09</v>
      </c>
      <c r="C4" s="80">
        <f t="shared" si="1"/>
        <v>1.0963045</v>
      </c>
    </row>
    <row r="5" spans="1:3" x14ac:dyDescent="0.25">
      <c r="A5" s="76">
        <v>18</v>
      </c>
      <c r="B5" s="76">
        <f t="shared" si="0"/>
        <v>229.85999999999999</v>
      </c>
      <c r="C5" s="81">
        <f t="shared" si="1"/>
        <v>1.160793</v>
      </c>
    </row>
    <row r="6" spans="1:3" x14ac:dyDescent="0.25">
      <c r="A6" s="77">
        <v>19</v>
      </c>
      <c r="B6" s="75">
        <f t="shared" si="0"/>
        <v>242.63</v>
      </c>
      <c r="C6" s="80">
        <f t="shared" si="1"/>
        <v>1.2252814999999999</v>
      </c>
    </row>
    <row r="7" spans="1:3" x14ac:dyDescent="0.25">
      <c r="A7" s="76">
        <v>20</v>
      </c>
      <c r="B7" s="76">
        <f t="shared" si="0"/>
        <v>255.39999999999998</v>
      </c>
      <c r="C7" s="81">
        <f t="shared" si="1"/>
        <v>1.2897699999999999</v>
      </c>
    </row>
    <row r="8" spans="1:3" x14ac:dyDescent="0.25">
      <c r="A8" s="77">
        <v>21</v>
      </c>
      <c r="B8" s="75">
        <f t="shared" si="0"/>
        <v>268.17</v>
      </c>
      <c r="C8" s="80">
        <f t="shared" si="1"/>
        <v>1.3542585</v>
      </c>
    </row>
    <row r="9" spans="1:3" x14ac:dyDescent="0.25">
      <c r="A9" s="76">
        <v>22</v>
      </c>
      <c r="B9" s="76">
        <f t="shared" si="0"/>
        <v>280.94</v>
      </c>
      <c r="C9" s="81">
        <f t="shared" si="1"/>
        <v>1.4187469999999998</v>
      </c>
    </row>
    <row r="10" spans="1:3" x14ac:dyDescent="0.25">
      <c r="A10" s="77">
        <v>23</v>
      </c>
      <c r="B10" s="75">
        <f t="shared" si="0"/>
        <v>293.70999999999998</v>
      </c>
      <c r="C10" s="80">
        <f t="shared" si="1"/>
        <v>1.4832354999999997</v>
      </c>
    </row>
    <row r="11" spans="1:3" x14ac:dyDescent="0.25">
      <c r="A11" s="76">
        <v>24</v>
      </c>
      <c r="B11" s="76">
        <f t="shared" si="0"/>
        <v>306.48</v>
      </c>
      <c r="C11" s="81">
        <f t="shared" si="1"/>
        <v>1.5477239999999999</v>
      </c>
    </row>
    <row r="12" spans="1:3" x14ac:dyDescent="0.25">
      <c r="A12" s="77">
        <v>25</v>
      </c>
      <c r="B12" s="75">
        <f t="shared" si="0"/>
        <v>319.25</v>
      </c>
      <c r="C12" s="80">
        <f t="shared" si="1"/>
        <v>1.6122124999999998</v>
      </c>
    </row>
    <row r="13" spans="1:3" x14ac:dyDescent="0.25">
      <c r="A13" s="76">
        <v>26</v>
      </c>
      <c r="B13" s="76">
        <f t="shared" si="0"/>
        <v>332.02</v>
      </c>
      <c r="C13" s="81">
        <f t="shared" si="1"/>
        <v>1.6767009999999998</v>
      </c>
    </row>
    <row r="14" spans="1:3" x14ac:dyDescent="0.25">
      <c r="A14" s="77">
        <v>27</v>
      </c>
      <c r="B14" s="75">
        <f t="shared" si="0"/>
        <v>344.78999999999996</v>
      </c>
      <c r="C14" s="80">
        <f t="shared" si="1"/>
        <v>1.7411894999999997</v>
      </c>
    </row>
    <row r="15" spans="1:3" x14ac:dyDescent="0.25">
      <c r="A15" s="76">
        <v>28</v>
      </c>
      <c r="B15" s="76">
        <f t="shared" si="0"/>
        <v>357.56</v>
      </c>
      <c r="C15" s="81">
        <f t="shared" si="1"/>
        <v>1.8056779999999999</v>
      </c>
    </row>
    <row r="16" spans="1:3" x14ac:dyDescent="0.25">
      <c r="A16" s="77">
        <v>29</v>
      </c>
      <c r="B16" s="75">
        <f t="shared" si="0"/>
        <v>370.33</v>
      </c>
      <c r="C16" s="80">
        <f t="shared" si="1"/>
        <v>1.8701664999999998</v>
      </c>
    </row>
    <row r="17" spans="1:3" x14ac:dyDescent="0.25">
      <c r="A17" s="76">
        <v>30</v>
      </c>
      <c r="B17" s="76">
        <f t="shared" si="0"/>
        <v>383.09999999999997</v>
      </c>
      <c r="C17" s="81">
        <f t="shared" si="1"/>
        <v>1.9346549999999998</v>
      </c>
    </row>
    <row r="18" spans="1:3" x14ac:dyDescent="0.25">
      <c r="A18" s="77">
        <v>31</v>
      </c>
      <c r="B18" s="75">
        <f t="shared" si="0"/>
        <v>395.87</v>
      </c>
      <c r="C18" s="80">
        <f t="shared" si="1"/>
        <v>1.9991435</v>
      </c>
    </row>
    <row r="19" spans="1:3" x14ac:dyDescent="0.25">
      <c r="A19" s="76">
        <v>32</v>
      </c>
      <c r="B19" s="76">
        <f t="shared" si="0"/>
        <v>408.64</v>
      </c>
      <c r="C19" s="81">
        <f t="shared" si="1"/>
        <v>2.0636320000000001</v>
      </c>
    </row>
    <row r="20" spans="1:3" x14ac:dyDescent="0.25">
      <c r="A20" s="77">
        <v>33</v>
      </c>
      <c r="B20" s="75">
        <f t="shared" si="0"/>
        <v>421.40999999999997</v>
      </c>
      <c r="C20" s="80">
        <f t="shared" si="1"/>
        <v>2.1281204999999996</v>
      </c>
    </row>
    <row r="21" spans="1:3" x14ac:dyDescent="0.25">
      <c r="A21" s="76">
        <v>34</v>
      </c>
      <c r="B21" s="76">
        <f t="shared" si="0"/>
        <v>434.18</v>
      </c>
      <c r="C21" s="81">
        <f t="shared" si="1"/>
        <v>2.192609</v>
      </c>
    </row>
    <row r="22" spans="1:3" x14ac:dyDescent="0.25">
      <c r="A22" s="77">
        <v>35</v>
      </c>
      <c r="B22" s="75">
        <f t="shared" si="0"/>
        <v>446.95</v>
      </c>
      <c r="C22" s="80">
        <f t="shared" si="1"/>
        <v>2.2570975</v>
      </c>
    </row>
    <row r="23" spans="1:3" x14ac:dyDescent="0.25">
      <c r="A23" s="76">
        <v>36</v>
      </c>
      <c r="B23" s="76">
        <f t="shared" si="0"/>
        <v>459.71999999999997</v>
      </c>
      <c r="C23" s="81">
        <f t="shared" si="1"/>
        <v>2.3215859999999999</v>
      </c>
    </row>
    <row r="24" spans="1:3" x14ac:dyDescent="0.25">
      <c r="A24" s="77">
        <v>37</v>
      </c>
      <c r="B24" s="75">
        <f t="shared" si="0"/>
        <v>472.49</v>
      </c>
      <c r="C24" s="80">
        <f t="shared" si="1"/>
        <v>2.3860745000000003</v>
      </c>
    </row>
    <row r="25" spans="1:3" x14ac:dyDescent="0.25">
      <c r="A25" s="76">
        <v>38</v>
      </c>
      <c r="B25" s="76">
        <f t="shared" si="0"/>
        <v>485.26</v>
      </c>
      <c r="C25" s="81">
        <f t="shared" si="1"/>
        <v>2.4505629999999998</v>
      </c>
    </row>
    <row r="26" spans="1:3" x14ac:dyDescent="0.25">
      <c r="A26" s="77">
        <v>39</v>
      </c>
      <c r="B26" s="75">
        <f t="shared" si="0"/>
        <v>498.03</v>
      </c>
      <c r="C26" s="80">
        <f t="shared" si="1"/>
        <v>2.5150514999999998</v>
      </c>
    </row>
    <row r="27" spans="1:3" x14ac:dyDescent="0.25">
      <c r="A27" s="76">
        <v>40</v>
      </c>
      <c r="B27" s="76">
        <f t="shared" si="0"/>
        <v>510.79999999999995</v>
      </c>
      <c r="C27" s="81">
        <f t="shared" si="1"/>
        <v>2.5795399999999997</v>
      </c>
    </row>
    <row r="28" spans="1:3" x14ac:dyDescent="0.25">
      <c r="A28" s="77">
        <v>41</v>
      </c>
      <c r="B28" s="75">
        <f t="shared" si="0"/>
        <v>523.56999999999994</v>
      </c>
      <c r="C28" s="80">
        <f t="shared" si="1"/>
        <v>2.6440284999999992</v>
      </c>
    </row>
    <row r="29" spans="1:3" x14ac:dyDescent="0.25">
      <c r="A29" s="76">
        <v>42</v>
      </c>
      <c r="B29" s="76">
        <f t="shared" si="0"/>
        <v>536.34</v>
      </c>
      <c r="C29" s="81">
        <f t="shared" si="1"/>
        <v>2.7085170000000001</v>
      </c>
    </row>
    <row r="30" spans="1:3" x14ac:dyDescent="0.25">
      <c r="A30" s="77">
        <v>43</v>
      </c>
      <c r="B30" s="75">
        <f t="shared" si="0"/>
        <v>549.11</v>
      </c>
      <c r="C30" s="80">
        <f t="shared" si="1"/>
        <v>2.7730054999999996</v>
      </c>
    </row>
    <row r="31" spans="1:3" x14ac:dyDescent="0.25">
      <c r="A31" s="76">
        <v>44</v>
      </c>
      <c r="B31" s="76">
        <f t="shared" si="0"/>
        <v>561.88</v>
      </c>
      <c r="C31" s="81">
        <f t="shared" si="1"/>
        <v>2.8374939999999995</v>
      </c>
    </row>
    <row r="32" spans="1:3" x14ac:dyDescent="0.25">
      <c r="A32" s="77">
        <v>45</v>
      </c>
      <c r="B32" s="75">
        <f t="shared" si="0"/>
        <v>574.65</v>
      </c>
      <c r="C32" s="80">
        <f t="shared" si="1"/>
        <v>2.9019824999999995</v>
      </c>
    </row>
    <row r="33" spans="1:3" x14ac:dyDescent="0.25">
      <c r="A33" s="76">
        <v>46</v>
      </c>
      <c r="B33" s="76">
        <f t="shared" si="0"/>
        <v>587.41999999999996</v>
      </c>
      <c r="C33" s="81">
        <f t="shared" si="1"/>
        <v>2.9664709999999994</v>
      </c>
    </row>
    <row r="34" spans="1:3" x14ac:dyDescent="0.25">
      <c r="A34" s="77">
        <v>47</v>
      </c>
      <c r="B34" s="75">
        <f t="shared" si="0"/>
        <v>600.18999999999994</v>
      </c>
      <c r="C34" s="80">
        <f t="shared" si="1"/>
        <v>3.0309594999999994</v>
      </c>
    </row>
    <row r="35" spans="1:3" x14ac:dyDescent="0.25">
      <c r="A35" s="76">
        <v>48</v>
      </c>
      <c r="B35" s="76">
        <f t="shared" si="0"/>
        <v>612.96</v>
      </c>
      <c r="C35" s="81">
        <f t="shared" si="1"/>
        <v>3.0954479999999998</v>
      </c>
    </row>
    <row r="36" spans="1:3" x14ac:dyDescent="0.25">
      <c r="A36" s="77">
        <v>49</v>
      </c>
      <c r="B36" s="75">
        <f t="shared" si="0"/>
        <v>625.73</v>
      </c>
      <c r="C36" s="80">
        <f t="shared" si="1"/>
        <v>3.1599364999999997</v>
      </c>
    </row>
    <row r="37" spans="1:3" x14ac:dyDescent="0.25">
      <c r="A37" s="76">
        <v>50</v>
      </c>
      <c r="B37" s="76">
        <f t="shared" si="0"/>
        <v>638.5</v>
      </c>
      <c r="C37" s="81">
        <f t="shared" si="1"/>
        <v>3.2244249999999997</v>
      </c>
    </row>
    <row r="38" spans="1:3" x14ac:dyDescent="0.25">
      <c r="A38" s="77">
        <v>51</v>
      </c>
      <c r="B38" s="75">
        <f t="shared" si="0"/>
        <v>651.27</v>
      </c>
      <c r="C38" s="80">
        <f t="shared" si="1"/>
        <v>3.2889134999999996</v>
      </c>
    </row>
    <row r="39" spans="1:3" x14ac:dyDescent="0.25">
      <c r="A39" s="76">
        <v>52</v>
      </c>
      <c r="B39" s="76">
        <f t="shared" si="0"/>
        <v>664.04</v>
      </c>
      <c r="C39" s="81">
        <f t="shared" si="1"/>
        <v>3.3534019999999995</v>
      </c>
    </row>
    <row r="40" spans="1:3" x14ac:dyDescent="0.25">
      <c r="A40" s="77">
        <v>53</v>
      </c>
      <c r="B40" s="75">
        <f t="shared" si="0"/>
        <v>676.81</v>
      </c>
      <c r="C40" s="80">
        <f t="shared" si="1"/>
        <v>3.4178904999999995</v>
      </c>
    </row>
    <row r="41" spans="1:3" x14ac:dyDescent="0.25">
      <c r="A41" s="76">
        <v>54</v>
      </c>
      <c r="B41" s="76">
        <f t="shared" si="0"/>
        <v>689.57999999999993</v>
      </c>
      <c r="C41" s="81">
        <f t="shared" si="1"/>
        <v>3.4823789999999994</v>
      </c>
    </row>
    <row r="42" spans="1:3" x14ac:dyDescent="0.25">
      <c r="A42" s="77">
        <v>55</v>
      </c>
      <c r="B42" s="75">
        <f t="shared" si="0"/>
        <v>702.35</v>
      </c>
      <c r="C42" s="80">
        <f t="shared" si="1"/>
        <v>3.5468674999999998</v>
      </c>
    </row>
    <row r="43" spans="1:3" x14ac:dyDescent="0.25">
      <c r="A43" s="76">
        <v>56</v>
      </c>
      <c r="B43" s="76">
        <f t="shared" si="0"/>
        <v>715.12</v>
      </c>
      <c r="C43" s="81">
        <f t="shared" si="1"/>
        <v>3.6113559999999998</v>
      </c>
    </row>
    <row r="44" spans="1:3" x14ac:dyDescent="0.25">
      <c r="A44" s="77">
        <v>57</v>
      </c>
      <c r="B44" s="75">
        <f t="shared" si="0"/>
        <v>727.89</v>
      </c>
      <c r="C44" s="80">
        <f t="shared" si="1"/>
        <v>3.6758444999999997</v>
      </c>
    </row>
    <row r="45" spans="1:3" x14ac:dyDescent="0.25">
      <c r="A45" s="76">
        <v>58</v>
      </c>
      <c r="B45" s="76">
        <f t="shared" si="0"/>
        <v>740.66</v>
      </c>
      <c r="C45" s="81">
        <f t="shared" si="1"/>
        <v>3.7403329999999997</v>
      </c>
    </row>
    <row r="46" spans="1:3" x14ac:dyDescent="0.25">
      <c r="A46" s="77">
        <v>59</v>
      </c>
      <c r="B46" s="75">
        <f t="shared" si="0"/>
        <v>753.43</v>
      </c>
      <c r="C46" s="80">
        <f t="shared" si="1"/>
        <v>3.8048214999999996</v>
      </c>
    </row>
    <row r="47" spans="1:3" x14ac:dyDescent="0.25">
      <c r="A47" s="76">
        <v>60</v>
      </c>
      <c r="B47" s="76">
        <f t="shared" si="0"/>
        <v>766.19999999999993</v>
      </c>
      <c r="C47" s="81">
        <f t="shared" si="1"/>
        <v>3.8693099999999996</v>
      </c>
    </row>
    <row r="48" spans="1:3" x14ac:dyDescent="0.25">
      <c r="A48" s="77">
        <v>61</v>
      </c>
      <c r="B48" s="75">
        <f t="shared" si="0"/>
        <v>778.97</v>
      </c>
      <c r="C48" s="80">
        <f t="shared" si="1"/>
        <v>3.9337985</v>
      </c>
    </row>
    <row r="49" spans="1:3" x14ac:dyDescent="0.25">
      <c r="A49" s="76">
        <v>62</v>
      </c>
      <c r="B49" s="76">
        <f t="shared" si="0"/>
        <v>791.74</v>
      </c>
      <c r="C49" s="81">
        <f t="shared" si="1"/>
        <v>3.9982869999999999</v>
      </c>
    </row>
    <row r="50" spans="1:3" x14ac:dyDescent="0.25">
      <c r="A50" s="77">
        <v>63</v>
      </c>
      <c r="B50" s="75">
        <f t="shared" si="0"/>
        <v>804.51</v>
      </c>
      <c r="C50" s="80">
        <f t="shared" si="1"/>
        <v>4.0627754999999999</v>
      </c>
    </row>
    <row r="51" spans="1:3" x14ac:dyDescent="0.25">
      <c r="A51" s="76">
        <v>64</v>
      </c>
      <c r="B51" s="76">
        <f t="shared" si="0"/>
        <v>817.28</v>
      </c>
      <c r="C51" s="81">
        <f t="shared" si="1"/>
        <v>4.1272640000000003</v>
      </c>
    </row>
    <row r="52" spans="1:3" x14ac:dyDescent="0.25">
      <c r="A52" s="77">
        <v>65</v>
      </c>
      <c r="B52" s="75">
        <f t="shared" si="0"/>
        <v>830.05</v>
      </c>
      <c r="C52" s="80">
        <f t="shared" si="1"/>
        <v>4.1917524999999998</v>
      </c>
    </row>
    <row r="53" spans="1:3" x14ac:dyDescent="0.25">
      <c r="A53" s="76">
        <v>66</v>
      </c>
      <c r="B53" s="76">
        <f t="shared" si="0"/>
        <v>842.81999999999994</v>
      </c>
      <c r="C53" s="81">
        <f t="shared" si="1"/>
        <v>4.2562409999999993</v>
      </c>
    </row>
    <row r="54" spans="1:3" x14ac:dyDescent="0.25">
      <c r="A54" s="77">
        <v>67</v>
      </c>
      <c r="B54" s="75">
        <f t="shared" si="0"/>
        <v>855.58999999999992</v>
      </c>
      <c r="C54" s="80">
        <f t="shared" si="1"/>
        <v>4.3207294999999997</v>
      </c>
    </row>
    <row r="55" spans="1:3" x14ac:dyDescent="0.25">
      <c r="A55" s="76">
        <v>68</v>
      </c>
      <c r="B55" s="76">
        <f t="shared" si="0"/>
        <v>868.36</v>
      </c>
      <c r="C55" s="81">
        <f t="shared" si="1"/>
        <v>4.3852180000000001</v>
      </c>
    </row>
    <row r="56" spans="1:3" x14ac:dyDescent="0.25">
      <c r="A56" s="77">
        <v>69</v>
      </c>
      <c r="B56" s="75">
        <f t="shared" si="0"/>
        <v>881.13</v>
      </c>
      <c r="C56" s="80">
        <f t="shared" si="1"/>
        <v>4.4497065000000005</v>
      </c>
    </row>
    <row r="57" spans="1:3" x14ac:dyDescent="0.25">
      <c r="A57" s="76">
        <v>70</v>
      </c>
      <c r="B57" s="76">
        <f t="shared" si="0"/>
        <v>893.9</v>
      </c>
      <c r="C57" s="81">
        <f t="shared" si="1"/>
        <v>4.514195</v>
      </c>
    </row>
    <row r="58" spans="1:3" x14ac:dyDescent="0.25">
      <c r="A58" s="77">
        <v>71</v>
      </c>
      <c r="B58" s="75">
        <f t="shared" si="0"/>
        <v>906.67</v>
      </c>
      <c r="C58" s="80">
        <f t="shared" si="1"/>
        <v>4.5786834999999995</v>
      </c>
    </row>
    <row r="59" spans="1:3" x14ac:dyDescent="0.25">
      <c r="A59" s="76">
        <v>72</v>
      </c>
      <c r="B59" s="76">
        <f t="shared" si="0"/>
        <v>919.43999999999994</v>
      </c>
      <c r="C59" s="81">
        <f t="shared" si="1"/>
        <v>4.6431719999999999</v>
      </c>
    </row>
    <row r="60" spans="1:3" x14ac:dyDescent="0.25">
      <c r="A60" s="77">
        <v>73</v>
      </c>
      <c r="B60" s="75">
        <f t="shared" si="0"/>
        <v>932.20999999999992</v>
      </c>
      <c r="C60" s="80">
        <f t="shared" si="1"/>
        <v>4.7076604999999994</v>
      </c>
    </row>
    <row r="61" spans="1:3" x14ac:dyDescent="0.25">
      <c r="A61" s="76">
        <v>74</v>
      </c>
      <c r="B61" s="76">
        <f t="shared" si="0"/>
        <v>944.98</v>
      </c>
      <c r="C61" s="81">
        <f t="shared" si="1"/>
        <v>4.7721490000000006</v>
      </c>
    </row>
    <row r="62" spans="1:3" x14ac:dyDescent="0.25">
      <c r="A62" s="77">
        <v>75</v>
      </c>
      <c r="B62" s="75">
        <f t="shared" si="0"/>
        <v>957.75</v>
      </c>
      <c r="C62" s="80">
        <f t="shared" si="1"/>
        <v>4.8366375000000001</v>
      </c>
    </row>
    <row r="63" spans="1:3" x14ac:dyDescent="0.25">
      <c r="A63" s="76">
        <v>76</v>
      </c>
      <c r="B63" s="76">
        <f t="shared" si="0"/>
        <v>970.52</v>
      </c>
      <c r="C63" s="81">
        <f t="shared" si="1"/>
        <v>4.9011259999999996</v>
      </c>
    </row>
    <row r="64" spans="1:3" x14ac:dyDescent="0.25">
      <c r="A64" s="77">
        <v>77</v>
      </c>
      <c r="B64" s="75">
        <f t="shared" si="0"/>
        <v>983.29</v>
      </c>
      <c r="C64" s="80">
        <f t="shared" si="1"/>
        <v>4.9656145</v>
      </c>
    </row>
    <row r="65" spans="1:3" x14ac:dyDescent="0.25">
      <c r="A65" s="76">
        <v>78</v>
      </c>
      <c r="B65" s="76">
        <f t="shared" si="0"/>
        <v>996.06</v>
      </c>
      <c r="C65" s="81">
        <f t="shared" si="1"/>
        <v>5.0301029999999995</v>
      </c>
    </row>
    <row r="66" spans="1:3" x14ac:dyDescent="0.25">
      <c r="A66" s="77">
        <v>79</v>
      </c>
      <c r="B66" s="75">
        <f t="shared" si="0"/>
        <v>1008.8299999999999</v>
      </c>
      <c r="C66" s="80">
        <f t="shared" si="1"/>
        <v>5.0945914999999999</v>
      </c>
    </row>
    <row r="67" spans="1:3" x14ac:dyDescent="0.25">
      <c r="A67" s="76">
        <v>80</v>
      </c>
      <c r="B67" s="76">
        <f t="shared" ref="B67:B117" si="2">A67*12.77</f>
        <v>1021.5999999999999</v>
      </c>
      <c r="C67" s="81">
        <f t="shared" ref="C67:C117" si="3">(B67*5.05)/1000</f>
        <v>5.1590799999999994</v>
      </c>
    </row>
    <row r="68" spans="1:3" x14ac:dyDescent="0.25">
      <c r="A68" s="77">
        <v>81</v>
      </c>
      <c r="B68" s="75">
        <f t="shared" si="2"/>
        <v>1034.3699999999999</v>
      </c>
      <c r="C68" s="80">
        <f t="shared" si="3"/>
        <v>5.2235684999999998</v>
      </c>
    </row>
    <row r="69" spans="1:3" x14ac:dyDescent="0.25">
      <c r="A69" s="76">
        <v>82</v>
      </c>
      <c r="B69" s="76">
        <f t="shared" si="2"/>
        <v>1047.1399999999999</v>
      </c>
      <c r="C69" s="81">
        <f t="shared" si="3"/>
        <v>5.2880569999999985</v>
      </c>
    </row>
    <row r="70" spans="1:3" x14ac:dyDescent="0.25">
      <c r="A70" s="77">
        <v>83</v>
      </c>
      <c r="B70" s="75">
        <f t="shared" si="2"/>
        <v>1059.9099999999999</v>
      </c>
      <c r="C70" s="80">
        <f t="shared" si="3"/>
        <v>5.3525454999999988</v>
      </c>
    </row>
    <row r="71" spans="1:3" x14ac:dyDescent="0.25">
      <c r="A71" s="76">
        <v>84</v>
      </c>
      <c r="B71" s="76">
        <f t="shared" si="2"/>
        <v>1072.68</v>
      </c>
      <c r="C71" s="81">
        <f t="shared" si="3"/>
        <v>5.4170340000000001</v>
      </c>
    </row>
    <row r="72" spans="1:3" x14ac:dyDescent="0.25">
      <c r="A72" s="77">
        <v>85</v>
      </c>
      <c r="B72" s="75">
        <f t="shared" si="2"/>
        <v>1085.45</v>
      </c>
      <c r="C72" s="80">
        <f t="shared" si="3"/>
        <v>5.4815224999999996</v>
      </c>
    </row>
    <row r="73" spans="1:3" x14ac:dyDescent="0.25">
      <c r="A73" s="76">
        <v>86</v>
      </c>
      <c r="B73" s="76">
        <f t="shared" si="2"/>
        <v>1098.22</v>
      </c>
      <c r="C73" s="81">
        <f t="shared" si="3"/>
        <v>5.5460109999999991</v>
      </c>
    </row>
    <row r="74" spans="1:3" x14ac:dyDescent="0.25">
      <c r="A74" s="77">
        <v>87</v>
      </c>
      <c r="B74" s="75">
        <f t="shared" si="2"/>
        <v>1110.99</v>
      </c>
      <c r="C74" s="80">
        <f t="shared" si="3"/>
        <v>5.6104994999999995</v>
      </c>
    </row>
    <row r="75" spans="1:3" x14ac:dyDescent="0.25">
      <c r="A75" s="76">
        <v>88</v>
      </c>
      <c r="B75" s="76">
        <f t="shared" si="2"/>
        <v>1123.76</v>
      </c>
      <c r="C75" s="81">
        <f t="shared" si="3"/>
        <v>5.674987999999999</v>
      </c>
    </row>
    <row r="76" spans="1:3" x14ac:dyDescent="0.25">
      <c r="A76" s="77">
        <v>89</v>
      </c>
      <c r="B76" s="75">
        <f t="shared" si="2"/>
        <v>1136.53</v>
      </c>
      <c r="C76" s="80">
        <f t="shared" si="3"/>
        <v>5.7394764999999994</v>
      </c>
    </row>
    <row r="77" spans="1:3" x14ac:dyDescent="0.25">
      <c r="A77" s="76">
        <v>90</v>
      </c>
      <c r="B77" s="76">
        <f t="shared" si="2"/>
        <v>1149.3</v>
      </c>
      <c r="C77" s="81">
        <f t="shared" si="3"/>
        <v>5.8039649999999989</v>
      </c>
    </row>
    <row r="78" spans="1:3" x14ac:dyDescent="0.25">
      <c r="A78" s="77">
        <v>91</v>
      </c>
      <c r="B78" s="75">
        <f t="shared" si="2"/>
        <v>1162.07</v>
      </c>
      <c r="C78" s="80">
        <f t="shared" si="3"/>
        <v>5.8684534999999993</v>
      </c>
    </row>
    <row r="79" spans="1:3" x14ac:dyDescent="0.25">
      <c r="A79" s="76">
        <v>92</v>
      </c>
      <c r="B79" s="76">
        <f t="shared" si="2"/>
        <v>1174.8399999999999</v>
      </c>
      <c r="C79" s="81">
        <f t="shared" si="3"/>
        <v>5.9329419999999988</v>
      </c>
    </row>
    <row r="80" spans="1:3" x14ac:dyDescent="0.25">
      <c r="A80" s="77">
        <v>93</v>
      </c>
      <c r="B80" s="75">
        <f t="shared" si="2"/>
        <v>1187.6099999999999</v>
      </c>
      <c r="C80" s="80">
        <f t="shared" si="3"/>
        <v>5.9974304999999992</v>
      </c>
    </row>
    <row r="81" spans="1:3" x14ac:dyDescent="0.25">
      <c r="A81" s="76">
        <v>94</v>
      </c>
      <c r="B81" s="76">
        <f t="shared" si="2"/>
        <v>1200.3799999999999</v>
      </c>
      <c r="C81" s="81">
        <f t="shared" si="3"/>
        <v>6.0619189999999987</v>
      </c>
    </row>
    <row r="82" spans="1:3" x14ac:dyDescent="0.25">
      <c r="A82" s="77">
        <v>95</v>
      </c>
      <c r="B82" s="75">
        <f t="shared" si="2"/>
        <v>1213.1499999999999</v>
      </c>
      <c r="C82" s="80">
        <f t="shared" si="3"/>
        <v>6.1264074999999991</v>
      </c>
    </row>
    <row r="83" spans="1:3" x14ac:dyDescent="0.25">
      <c r="A83" s="76">
        <v>96</v>
      </c>
      <c r="B83" s="76">
        <f t="shared" si="2"/>
        <v>1225.92</v>
      </c>
      <c r="C83" s="81">
        <f t="shared" si="3"/>
        <v>6.1908959999999995</v>
      </c>
    </row>
    <row r="84" spans="1:3" x14ac:dyDescent="0.25">
      <c r="A84" s="77">
        <v>97</v>
      </c>
      <c r="B84" s="75">
        <f t="shared" si="2"/>
        <v>1238.69</v>
      </c>
      <c r="C84" s="80">
        <f t="shared" si="3"/>
        <v>6.2553844999999999</v>
      </c>
    </row>
    <row r="85" spans="1:3" x14ac:dyDescent="0.25">
      <c r="A85" s="76">
        <v>98</v>
      </c>
      <c r="B85" s="76">
        <f t="shared" si="2"/>
        <v>1251.46</v>
      </c>
      <c r="C85" s="81">
        <f t="shared" si="3"/>
        <v>6.3198729999999994</v>
      </c>
    </row>
    <row r="86" spans="1:3" x14ac:dyDescent="0.25">
      <c r="A86" s="77">
        <v>99</v>
      </c>
      <c r="B86" s="75">
        <f t="shared" si="2"/>
        <v>1264.23</v>
      </c>
      <c r="C86" s="80">
        <f t="shared" si="3"/>
        <v>6.3843614999999998</v>
      </c>
    </row>
    <row r="87" spans="1:3" x14ac:dyDescent="0.25">
      <c r="A87" s="76">
        <v>100</v>
      </c>
      <c r="B87" s="76">
        <f t="shared" si="2"/>
        <v>1277</v>
      </c>
      <c r="C87" s="81">
        <f t="shared" si="3"/>
        <v>6.4488499999999993</v>
      </c>
    </row>
    <row r="88" spans="1:3" x14ac:dyDescent="0.25">
      <c r="A88" s="77">
        <v>101</v>
      </c>
      <c r="B88" s="75">
        <f t="shared" si="2"/>
        <v>1289.77</v>
      </c>
      <c r="C88" s="80">
        <f t="shared" si="3"/>
        <v>6.5133384999999997</v>
      </c>
    </row>
    <row r="89" spans="1:3" x14ac:dyDescent="0.25">
      <c r="A89" s="76">
        <v>102</v>
      </c>
      <c r="B89" s="76">
        <f t="shared" si="2"/>
        <v>1302.54</v>
      </c>
      <c r="C89" s="81">
        <f t="shared" si="3"/>
        <v>6.5778269999999992</v>
      </c>
    </row>
    <row r="90" spans="1:3" x14ac:dyDescent="0.25">
      <c r="A90" s="77">
        <v>103</v>
      </c>
      <c r="B90" s="75">
        <f t="shared" si="2"/>
        <v>1315.31</v>
      </c>
      <c r="C90" s="80">
        <f t="shared" si="3"/>
        <v>6.6423154999999996</v>
      </c>
    </row>
    <row r="91" spans="1:3" x14ac:dyDescent="0.25">
      <c r="A91" s="76">
        <v>104</v>
      </c>
      <c r="B91" s="76">
        <f t="shared" si="2"/>
        <v>1328.08</v>
      </c>
      <c r="C91" s="81">
        <f t="shared" si="3"/>
        <v>6.7068039999999991</v>
      </c>
    </row>
    <row r="92" spans="1:3" x14ac:dyDescent="0.25">
      <c r="A92" s="77">
        <v>105</v>
      </c>
      <c r="B92" s="75">
        <f t="shared" si="2"/>
        <v>1340.85</v>
      </c>
      <c r="C92" s="80">
        <f t="shared" si="3"/>
        <v>6.7712924999999995</v>
      </c>
    </row>
    <row r="93" spans="1:3" x14ac:dyDescent="0.25">
      <c r="A93" s="76">
        <v>106</v>
      </c>
      <c r="B93" s="76">
        <f t="shared" si="2"/>
        <v>1353.62</v>
      </c>
      <c r="C93" s="81">
        <f t="shared" si="3"/>
        <v>6.835780999999999</v>
      </c>
    </row>
    <row r="94" spans="1:3" x14ac:dyDescent="0.25">
      <c r="A94" s="77">
        <v>107</v>
      </c>
      <c r="B94" s="75">
        <f t="shared" si="2"/>
        <v>1366.3899999999999</v>
      </c>
      <c r="C94" s="80">
        <f t="shared" si="3"/>
        <v>6.9002694999999994</v>
      </c>
    </row>
    <row r="95" spans="1:3" x14ac:dyDescent="0.25">
      <c r="A95" s="76">
        <v>108</v>
      </c>
      <c r="B95" s="76">
        <f t="shared" si="2"/>
        <v>1379.1599999999999</v>
      </c>
      <c r="C95" s="81">
        <f t="shared" si="3"/>
        <v>6.9647579999999989</v>
      </c>
    </row>
    <row r="96" spans="1:3" x14ac:dyDescent="0.25">
      <c r="A96" s="77">
        <v>109</v>
      </c>
      <c r="B96" s="75">
        <f t="shared" si="2"/>
        <v>1391.93</v>
      </c>
      <c r="C96" s="80">
        <f t="shared" si="3"/>
        <v>7.0292465000000002</v>
      </c>
    </row>
    <row r="97" spans="1:3" x14ac:dyDescent="0.25">
      <c r="A97" s="76">
        <v>110</v>
      </c>
      <c r="B97" s="76">
        <f t="shared" si="2"/>
        <v>1404.7</v>
      </c>
      <c r="C97" s="81">
        <f t="shared" si="3"/>
        <v>7.0937349999999997</v>
      </c>
    </row>
    <row r="98" spans="1:3" x14ac:dyDescent="0.25">
      <c r="A98" s="77">
        <v>111</v>
      </c>
      <c r="B98" s="75">
        <f t="shared" si="2"/>
        <v>1417.47</v>
      </c>
      <c r="C98" s="80">
        <f t="shared" si="3"/>
        <v>7.1582235000000001</v>
      </c>
    </row>
    <row r="99" spans="1:3" x14ac:dyDescent="0.25">
      <c r="A99" s="76">
        <v>112</v>
      </c>
      <c r="B99" s="76">
        <f t="shared" si="2"/>
        <v>1430.24</v>
      </c>
      <c r="C99" s="81">
        <f t="shared" si="3"/>
        <v>7.2227119999999996</v>
      </c>
    </row>
    <row r="100" spans="1:3" x14ac:dyDescent="0.25">
      <c r="A100" s="77">
        <v>113</v>
      </c>
      <c r="B100" s="75">
        <f t="shared" si="2"/>
        <v>1443.01</v>
      </c>
      <c r="C100" s="80">
        <f t="shared" si="3"/>
        <v>7.2872005</v>
      </c>
    </row>
    <row r="101" spans="1:3" x14ac:dyDescent="0.25">
      <c r="A101" s="76">
        <v>114</v>
      </c>
      <c r="B101" s="76">
        <f t="shared" si="2"/>
        <v>1455.78</v>
      </c>
      <c r="C101" s="81">
        <f t="shared" si="3"/>
        <v>7.3516889999999995</v>
      </c>
    </row>
    <row r="102" spans="1:3" x14ac:dyDescent="0.25">
      <c r="A102" s="77">
        <v>115</v>
      </c>
      <c r="B102" s="75">
        <f t="shared" si="2"/>
        <v>1468.55</v>
      </c>
      <c r="C102" s="80">
        <f t="shared" si="3"/>
        <v>7.4161774999999999</v>
      </c>
    </row>
    <row r="103" spans="1:3" x14ac:dyDescent="0.25">
      <c r="A103" s="76">
        <v>116</v>
      </c>
      <c r="B103" s="76">
        <f t="shared" si="2"/>
        <v>1481.32</v>
      </c>
      <c r="C103" s="81">
        <f t="shared" si="3"/>
        <v>7.4806659999999994</v>
      </c>
    </row>
    <row r="104" spans="1:3" x14ac:dyDescent="0.25">
      <c r="A104" s="77">
        <v>117</v>
      </c>
      <c r="B104" s="75">
        <f t="shared" si="2"/>
        <v>1494.09</v>
      </c>
      <c r="C104" s="80">
        <f t="shared" si="3"/>
        <v>7.5451544999999998</v>
      </c>
    </row>
    <row r="105" spans="1:3" x14ac:dyDescent="0.25">
      <c r="A105" s="76">
        <v>118</v>
      </c>
      <c r="B105" s="76">
        <f t="shared" si="2"/>
        <v>1506.86</v>
      </c>
      <c r="C105" s="81">
        <f t="shared" si="3"/>
        <v>7.6096429999999993</v>
      </c>
    </row>
    <row r="106" spans="1:3" x14ac:dyDescent="0.25">
      <c r="A106" s="77">
        <v>119</v>
      </c>
      <c r="B106" s="75">
        <f t="shared" si="2"/>
        <v>1519.6299999999999</v>
      </c>
      <c r="C106" s="80">
        <f t="shared" si="3"/>
        <v>7.6741314999999997</v>
      </c>
    </row>
    <row r="107" spans="1:3" x14ac:dyDescent="0.25">
      <c r="A107" s="76">
        <v>120</v>
      </c>
      <c r="B107" s="76">
        <f t="shared" si="2"/>
        <v>1532.3999999999999</v>
      </c>
      <c r="C107" s="81">
        <f t="shared" si="3"/>
        <v>7.7386199999999992</v>
      </c>
    </row>
    <row r="108" spans="1:3" x14ac:dyDescent="0.25">
      <c r="A108" s="77">
        <v>121</v>
      </c>
      <c r="B108" s="75">
        <f t="shared" si="2"/>
        <v>1545.1699999999998</v>
      </c>
      <c r="C108" s="80">
        <f t="shared" si="3"/>
        <v>7.8031084999999996</v>
      </c>
    </row>
    <row r="109" spans="1:3" x14ac:dyDescent="0.25">
      <c r="A109" s="76">
        <v>122</v>
      </c>
      <c r="B109" s="76">
        <f t="shared" si="2"/>
        <v>1557.94</v>
      </c>
      <c r="C109" s="81">
        <f t="shared" si="3"/>
        <v>7.867597</v>
      </c>
    </row>
    <row r="110" spans="1:3" x14ac:dyDescent="0.25">
      <c r="A110" s="77">
        <v>123</v>
      </c>
      <c r="B110" s="75">
        <f t="shared" si="2"/>
        <v>1570.71</v>
      </c>
      <c r="C110" s="80">
        <f t="shared" si="3"/>
        <v>7.9320855000000003</v>
      </c>
    </row>
    <row r="111" spans="1:3" x14ac:dyDescent="0.25">
      <c r="A111" s="76">
        <v>124</v>
      </c>
      <c r="B111" s="76">
        <f t="shared" si="2"/>
        <v>1583.48</v>
      </c>
      <c r="C111" s="81">
        <f t="shared" si="3"/>
        <v>7.9965739999999998</v>
      </c>
    </row>
    <row r="112" spans="1:3" x14ac:dyDescent="0.25">
      <c r="A112" s="77">
        <v>125</v>
      </c>
      <c r="B112" s="75">
        <f t="shared" si="2"/>
        <v>1596.25</v>
      </c>
      <c r="C112" s="80">
        <f t="shared" si="3"/>
        <v>8.0610625000000002</v>
      </c>
    </row>
    <row r="113" spans="1:3" x14ac:dyDescent="0.25">
      <c r="A113" s="76">
        <v>126</v>
      </c>
      <c r="B113" s="76">
        <f t="shared" si="2"/>
        <v>1609.02</v>
      </c>
      <c r="C113" s="81">
        <f t="shared" si="3"/>
        <v>8.1255509999999997</v>
      </c>
    </row>
    <row r="114" spans="1:3" x14ac:dyDescent="0.25">
      <c r="A114" s="77">
        <v>127</v>
      </c>
      <c r="B114" s="75">
        <f t="shared" si="2"/>
        <v>1621.79</v>
      </c>
      <c r="C114" s="80">
        <f t="shared" si="3"/>
        <v>8.1900394999999993</v>
      </c>
    </row>
    <row r="115" spans="1:3" x14ac:dyDescent="0.25">
      <c r="A115" s="76">
        <v>128</v>
      </c>
      <c r="B115" s="76">
        <f t="shared" si="2"/>
        <v>1634.56</v>
      </c>
      <c r="C115" s="81">
        <f t="shared" si="3"/>
        <v>8.2545280000000005</v>
      </c>
    </row>
    <row r="116" spans="1:3" x14ac:dyDescent="0.25">
      <c r="A116" s="77">
        <v>129</v>
      </c>
      <c r="B116" s="75">
        <f t="shared" si="2"/>
        <v>1647.33</v>
      </c>
      <c r="C116" s="80">
        <f t="shared" si="3"/>
        <v>8.3190165</v>
      </c>
    </row>
    <row r="117" spans="1:3" x14ac:dyDescent="0.25">
      <c r="A117" s="78">
        <v>130</v>
      </c>
      <c r="B117" s="76">
        <f t="shared" si="2"/>
        <v>1660.1</v>
      </c>
      <c r="C117" s="81">
        <f t="shared" si="3"/>
        <v>8.3835049999999995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39804-BBB0-4C8F-B2B1-DB63CB70BAE9}">
  <dimension ref="A1:C117"/>
  <sheetViews>
    <sheetView workbookViewId="0">
      <selection activeCell="A2" sqref="A2:C3"/>
    </sheetView>
  </sheetViews>
  <sheetFormatPr defaultRowHeight="15" x14ac:dyDescent="0.25"/>
  <cols>
    <col min="3" max="3" width="9.140625" style="23"/>
  </cols>
  <sheetData>
    <row r="1" spans="1:3" ht="38.25" x14ac:dyDescent="0.25">
      <c r="A1" s="72" t="s">
        <v>33</v>
      </c>
      <c r="B1" s="73" t="s">
        <v>34</v>
      </c>
      <c r="C1" s="74" t="s">
        <v>35</v>
      </c>
    </row>
    <row r="2" spans="1:3" x14ac:dyDescent="0.25">
      <c r="A2" s="75">
        <v>14</v>
      </c>
      <c r="B2" s="75">
        <f>A2*12.77</f>
        <v>178.78</v>
      </c>
      <c r="C2" s="80">
        <f>(B2*4.444)/1000</f>
        <v>0.79449831999999998</v>
      </c>
    </row>
    <row r="3" spans="1:3" x14ac:dyDescent="0.25">
      <c r="A3" s="76">
        <v>16</v>
      </c>
      <c r="B3" s="76">
        <f t="shared" ref="B3:B66" si="0">A3*12.77</f>
        <v>204.32</v>
      </c>
      <c r="C3" s="81">
        <f t="shared" ref="C3:C66" si="1">(B3*4.444)/1000</f>
        <v>0.90799807999999993</v>
      </c>
    </row>
    <row r="4" spans="1:3" x14ac:dyDescent="0.25">
      <c r="A4" s="77">
        <v>17</v>
      </c>
      <c r="B4" s="75">
        <f t="shared" si="0"/>
        <v>217.09</v>
      </c>
      <c r="C4" s="80">
        <f t="shared" si="1"/>
        <v>0.96474796000000007</v>
      </c>
    </row>
    <row r="5" spans="1:3" x14ac:dyDescent="0.25">
      <c r="A5" s="76">
        <v>18</v>
      </c>
      <c r="B5" s="76">
        <f t="shared" si="0"/>
        <v>229.85999999999999</v>
      </c>
      <c r="C5" s="81">
        <f t="shared" si="1"/>
        <v>1.0214978399999999</v>
      </c>
    </row>
    <row r="6" spans="1:3" x14ac:dyDescent="0.25">
      <c r="A6" s="77">
        <v>19</v>
      </c>
      <c r="B6" s="75">
        <f t="shared" si="0"/>
        <v>242.63</v>
      </c>
      <c r="C6" s="80">
        <f t="shared" si="1"/>
        <v>1.07824772</v>
      </c>
    </row>
    <row r="7" spans="1:3" x14ac:dyDescent="0.25">
      <c r="A7" s="76">
        <v>20</v>
      </c>
      <c r="B7" s="76">
        <f t="shared" si="0"/>
        <v>255.39999999999998</v>
      </c>
      <c r="C7" s="81">
        <f t="shared" si="1"/>
        <v>1.1349975999999999</v>
      </c>
    </row>
    <row r="8" spans="1:3" x14ac:dyDescent="0.25">
      <c r="A8" s="77">
        <v>21</v>
      </c>
      <c r="B8" s="75">
        <f t="shared" si="0"/>
        <v>268.17</v>
      </c>
      <c r="C8" s="80">
        <f t="shared" si="1"/>
        <v>1.1917474800000001</v>
      </c>
    </row>
    <row r="9" spans="1:3" x14ac:dyDescent="0.25">
      <c r="A9" s="76">
        <v>22</v>
      </c>
      <c r="B9" s="76">
        <f t="shared" si="0"/>
        <v>280.94</v>
      </c>
      <c r="C9" s="81">
        <f t="shared" si="1"/>
        <v>1.24849736</v>
      </c>
    </row>
    <row r="10" spans="1:3" x14ac:dyDescent="0.25">
      <c r="A10" s="77">
        <v>23</v>
      </c>
      <c r="B10" s="75">
        <f t="shared" si="0"/>
        <v>293.70999999999998</v>
      </c>
      <c r="C10" s="80">
        <f t="shared" si="1"/>
        <v>1.3052472399999999</v>
      </c>
    </row>
    <row r="11" spans="1:3" x14ac:dyDescent="0.25">
      <c r="A11" s="76">
        <v>24</v>
      </c>
      <c r="B11" s="76">
        <f t="shared" si="0"/>
        <v>306.48</v>
      </c>
      <c r="C11" s="81">
        <f t="shared" si="1"/>
        <v>1.3619971200000001</v>
      </c>
    </row>
    <row r="12" spans="1:3" x14ac:dyDescent="0.25">
      <c r="A12" s="77">
        <v>25</v>
      </c>
      <c r="B12" s="75">
        <f t="shared" si="0"/>
        <v>319.25</v>
      </c>
      <c r="C12" s="80">
        <f t="shared" si="1"/>
        <v>1.418747</v>
      </c>
    </row>
    <row r="13" spans="1:3" x14ac:dyDescent="0.25">
      <c r="A13" s="76">
        <v>26</v>
      </c>
      <c r="B13" s="76">
        <f t="shared" si="0"/>
        <v>332.02</v>
      </c>
      <c r="C13" s="81">
        <f t="shared" si="1"/>
        <v>1.4754968799999999</v>
      </c>
    </row>
    <row r="14" spans="1:3" x14ac:dyDescent="0.25">
      <c r="A14" s="77">
        <v>27</v>
      </c>
      <c r="B14" s="75">
        <f t="shared" si="0"/>
        <v>344.78999999999996</v>
      </c>
      <c r="C14" s="80">
        <f t="shared" si="1"/>
        <v>1.5322467599999998</v>
      </c>
    </row>
    <row r="15" spans="1:3" x14ac:dyDescent="0.25">
      <c r="A15" s="76">
        <v>28</v>
      </c>
      <c r="B15" s="76">
        <f t="shared" si="0"/>
        <v>357.56</v>
      </c>
      <c r="C15" s="81">
        <f t="shared" si="1"/>
        <v>1.58899664</v>
      </c>
    </row>
    <row r="16" spans="1:3" x14ac:dyDescent="0.25">
      <c r="A16" s="77">
        <v>29</v>
      </c>
      <c r="B16" s="75">
        <f t="shared" si="0"/>
        <v>370.33</v>
      </c>
      <c r="C16" s="80">
        <f t="shared" si="1"/>
        <v>1.6457465199999999</v>
      </c>
    </row>
    <row r="17" spans="1:3" x14ac:dyDescent="0.25">
      <c r="A17" s="76">
        <v>30</v>
      </c>
      <c r="B17" s="76">
        <f t="shared" si="0"/>
        <v>383.09999999999997</v>
      </c>
      <c r="C17" s="81">
        <f t="shared" si="1"/>
        <v>1.7024963999999998</v>
      </c>
    </row>
    <row r="18" spans="1:3" x14ac:dyDescent="0.25">
      <c r="A18" s="77">
        <v>31</v>
      </c>
      <c r="B18" s="75">
        <f t="shared" si="0"/>
        <v>395.87</v>
      </c>
      <c r="C18" s="80">
        <f t="shared" si="1"/>
        <v>1.7592462800000002</v>
      </c>
    </row>
    <row r="19" spans="1:3" x14ac:dyDescent="0.25">
      <c r="A19" s="76">
        <v>32</v>
      </c>
      <c r="B19" s="76">
        <f t="shared" si="0"/>
        <v>408.64</v>
      </c>
      <c r="C19" s="81">
        <f t="shared" si="1"/>
        <v>1.8159961599999999</v>
      </c>
    </row>
    <row r="20" spans="1:3" x14ac:dyDescent="0.25">
      <c r="A20" s="77">
        <v>33</v>
      </c>
      <c r="B20" s="75">
        <f t="shared" si="0"/>
        <v>421.40999999999997</v>
      </c>
      <c r="C20" s="80">
        <f t="shared" si="1"/>
        <v>1.8727460399999998</v>
      </c>
    </row>
    <row r="21" spans="1:3" x14ac:dyDescent="0.25">
      <c r="A21" s="76">
        <v>34</v>
      </c>
      <c r="B21" s="76">
        <f t="shared" si="0"/>
        <v>434.18</v>
      </c>
      <c r="C21" s="81">
        <f t="shared" si="1"/>
        <v>1.9294959200000001</v>
      </c>
    </row>
    <row r="22" spans="1:3" x14ac:dyDescent="0.25">
      <c r="A22" s="77">
        <v>35</v>
      </c>
      <c r="B22" s="75">
        <f t="shared" si="0"/>
        <v>446.95</v>
      </c>
      <c r="C22" s="80">
        <f t="shared" si="1"/>
        <v>1.9862457999999998</v>
      </c>
    </row>
    <row r="23" spans="1:3" x14ac:dyDescent="0.25">
      <c r="A23" s="76">
        <v>36</v>
      </c>
      <c r="B23" s="76">
        <f t="shared" si="0"/>
        <v>459.71999999999997</v>
      </c>
      <c r="C23" s="81">
        <f t="shared" si="1"/>
        <v>2.0429956799999998</v>
      </c>
    </row>
    <row r="24" spans="1:3" x14ac:dyDescent="0.25">
      <c r="A24" s="77">
        <v>37</v>
      </c>
      <c r="B24" s="75">
        <f t="shared" si="0"/>
        <v>472.49</v>
      </c>
      <c r="C24" s="80">
        <f t="shared" si="1"/>
        <v>2.0997455599999997</v>
      </c>
    </row>
    <row r="25" spans="1:3" x14ac:dyDescent="0.25">
      <c r="A25" s="76">
        <v>38</v>
      </c>
      <c r="B25" s="76">
        <f t="shared" si="0"/>
        <v>485.26</v>
      </c>
      <c r="C25" s="81">
        <f t="shared" si="1"/>
        <v>2.15649544</v>
      </c>
    </row>
    <row r="26" spans="1:3" x14ac:dyDescent="0.25">
      <c r="A26" s="77">
        <v>39</v>
      </c>
      <c r="B26" s="75">
        <f t="shared" si="0"/>
        <v>498.03</v>
      </c>
      <c r="C26" s="80">
        <f t="shared" si="1"/>
        <v>2.21324532</v>
      </c>
    </row>
    <row r="27" spans="1:3" x14ac:dyDescent="0.25">
      <c r="A27" s="76">
        <v>40</v>
      </c>
      <c r="B27" s="76">
        <f t="shared" si="0"/>
        <v>510.79999999999995</v>
      </c>
      <c r="C27" s="81">
        <f t="shared" si="1"/>
        <v>2.2699951999999999</v>
      </c>
    </row>
    <row r="28" spans="1:3" x14ac:dyDescent="0.25">
      <c r="A28" s="77">
        <v>41</v>
      </c>
      <c r="B28" s="75">
        <f t="shared" si="0"/>
        <v>523.56999999999994</v>
      </c>
      <c r="C28" s="80">
        <f t="shared" si="1"/>
        <v>2.3267450799999998</v>
      </c>
    </row>
    <row r="29" spans="1:3" x14ac:dyDescent="0.25">
      <c r="A29" s="76">
        <v>42</v>
      </c>
      <c r="B29" s="76">
        <f t="shared" si="0"/>
        <v>536.34</v>
      </c>
      <c r="C29" s="81">
        <f t="shared" si="1"/>
        <v>2.3834949600000002</v>
      </c>
    </row>
    <row r="30" spans="1:3" x14ac:dyDescent="0.25">
      <c r="A30" s="77">
        <v>43</v>
      </c>
      <c r="B30" s="75">
        <f t="shared" si="0"/>
        <v>549.11</v>
      </c>
      <c r="C30" s="80">
        <f t="shared" si="1"/>
        <v>2.4402448399999996</v>
      </c>
    </row>
    <row r="31" spans="1:3" x14ac:dyDescent="0.25">
      <c r="A31" s="76">
        <v>44</v>
      </c>
      <c r="B31" s="76">
        <f t="shared" si="0"/>
        <v>561.88</v>
      </c>
      <c r="C31" s="81">
        <f t="shared" si="1"/>
        <v>2.49699472</v>
      </c>
    </row>
    <row r="32" spans="1:3" x14ac:dyDescent="0.25">
      <c r="A32" s="77">
        <v>45</v>
      </c>
      <c r="B32" s="75">
        <f t="shared" si="0"/>
        <v>574.65</v>
      </c>
      <c r="C32" s="80">
        <f t="shared" si="1"/>
        <v>2.5537445999999999</v>
      </c>
    </row>
    <row r="33" spans="1:3" x14ac:dyDescent="0.25">
      <c r="A33" s="76">
        <v>46</v>
      </c>
      <c r="B33" s="76">
        <f t="shared" si="0"/>
        <v>587.41999999999996</v>
      </c>
      <c r="C33" s="81">
        <f t="shared" si="1"/>
        <v>2.6104944799999998</v>
      </c>
    </row>
    <row r="34" spans="1:3" x14ac:dyDescent="0.25">
      <c r="A34" s="77">
        <v>47</v>
      </c>
      <c r="B34" s="75">
        <f t="shared" si="0"/>
        <v>600.18999999999994</v>
      </c>
      <c r="C34" s="80">
        <f t="shared" si="1"/>
        <v>2.6672443599999998</v>
      </c>
    </row>
    <row r="35" spans="1:3" x14ac:dyDescent="0.25">
      <c r="A35" s="76">
        <v>48</v>
      </c>
      <c r="B35" s="76">
        <f t="shared" si="0"/>
        <v>612.96</v>
      </c>
      <c r="C35" s="81">
        <f t="shared" si="1"/>
        <v>2.7239942400000001</v>
      </c>
    </row>
    <row r="36" spans="1:3" x14ac:dyDescent="0.25">
      <c r="A36" s="77">
        <v>49</v>
      </c>
      <c r="B36" s="75">
        <f t="shared" si="0"/>
        <v>625.73</v>
      </c>
      <c r="C36" s="80">
        <f t="shared" si="1"/>
        <v>2.78074412</v>
      </c>
    </row>
    <row r="37" spans="1:3" x14ac:dyDescent="0.25">
      <c r="A37" s="76">
        <v>50</v>
      </c>
      <c r="B37" s="76">
        <f t="shared" si="0"/>
        <v>638.5</v>
      </c>
      <c r="C37" s="81">
        <f t="shared" si="1"/>
        <v>2.837494</v>
      </c>
    </row>
    <row r="38" spans="1:3" x14ac:dyDescent="0.25">
      <c r="A38" s="77">
        <v>51</v>
      </c>
      <c r="B38" s="75">
        <f t="shared" si="0"/>
        <v>651.27</v>
      </c>
      <c r="C38" s="80">
        <f t="shared" si="1"/>
        <v>2.8942438799999999</v>
      </c>
    </row>
    <row r="39" spans="1:3" x14ac:dyDescent="0.25">
      <c r="A39" s="76">
        <v>52</v>
      </c>
      <c r="B39" s="76">
        <f t="shared" si="0"/>
        <v>664.04</v>
      </c>
      <c r="C39" s="81">
        <f t="shared" si="1"/>
        <v>2.9509937599999998</v>
      </c>
    </row>
    <row r="40" spans="1:3" x14ac:dyDescent="0.25">
      <c r="A40" s="77">
        <v>53</v>
      </c>
      <c r="B40" s="75">
        <f t="shared" si="0"/>
        <v>676.81</v>
      </c>
      <c r="C40" s="80">
        <f t="shared" si="1"/>
        <v>3.0077436399999997</v>
      </c>
    </row>
    <row r="41" spans="1:3" x14ac:dyDescent="0.25">
      <c r="A41" s="76">
        <v>54</v>
      </c>
      <c r="B41" s="76">
        <f t="shared" si="0"/>
        <v>689.57999999999993</v>
      </c>
      <c r="C41" s="81">
        <f t="shared" si="1"/>
        <v>3.0644935199999996</v>
      </c>
    </row>
    <row r="42" spans="1:3" x14ac:dyDescent="0.25">
      <c r="A42" s="77">
        <v>55</v>
      </c>
      <c r="B42" s="75">
        <f t="shared" si="0"/>
        <v>702.35</v>
      </c>
      <c r="C42" s="80">
        <f t="shared" si="1"/>
        <v>3.1212434000000004</v>
      </c>
    </row>
    <row r="43" spans="1:3" x14ac:dyDescent="0.25">
      <c r="A43" s="76">
        <v>56</v>
      </c>
      <c r="B43" s="76">
        <f t="shared" si="0"/>
        <v>715.12</v>
      </c>
      <c r="C43" s="81">
        <f t="shared" si="1"/>
        <v>3.1779932799999999</v>
      </c>
    </row>
    <row r="44" spans="1:3" x14ac:dyDescent="0.25">
      <c r="A44" s="77">
        <v>57</v>
      </c>
      <c r="B44" s="75">
        <f t="shared" si="0"/>
        <v>727.89</v>
      </c>
      <c r="C44" s="80">
        <f t="shared" si="1"/>
        <v>3.2347431599999998</v>
      </c>
    </row>
    <row r="45" spans="1:3" x14ac:dyDescent="0.25">
      <c r="A45" s="76">
        <v>58</v>
      </c>
      <c r="B45" s="76">
        <f t="shared" si="0"/>
        <v>740.66</v>
      </c>
      <c r="C45" s="81">
        <f t="shared" si="1"/>
        <v>3.2914930399999998</v>
      </c>
    </row>
    <row r="46" spans="1:3" x14ac:dyDescent="0.25">
      <c r="A46" s="77">
        <v>59</v>
      </c>
      <c r="B46" s="75">
        <f t="shared" si="0"/>
        <v>753.43</v>
      </c>
      <c r="C46" s="80">
        <f t="shared" si="1"/>
        <v>3.3482429199999997</v>
      </c>
    </row>
    <row r="47" spans="1:3" x14ac:dyDescent="0.25">
      <c r="A47" s="76">
        <v>60</v>
      </c>
      <c r="B47" s="76">
        <f t="shared" si="0"/>
        <v>766.19999999999993</v>
      </c>
      <c r="C47" s="81">
        <f t="shared" si="1"/>
        <v>3.4049927999999996</v>
      </c>
    </row>
    <row r="48" spans="1:3" x14ac:dyDescent="0.25">
      <c r="A48" s="77">
        <v>61</v>
      </c>
      <c r="B48" s="75">
        <f t="shared" si="0"/>
        <v>778.97</v>
      </c>
      <c r="C48" s="80">
        <f t="shared" si="1"/>
        <v>3.4617426800000004</v>
      </c>
    </row>
    <row r="49" spans="1:3" x14ac:dyDescent="0.25">
      <c r="A49" s="76">
        <v>62</v>
      </c>
      <c r="B49" s="76">
        <f t="shared" si="0"/>
        <v>791.74</v>
      </c>
      <c r="C49" s="81">
        <f t="shared" si="1"/>
        <v>3.5184925600000003</v>
      </c>
    </row>
    <row r="50" spans="1:3" x14ac:dyDescent="0.25">
      <c r="A50" s="77">
        <v>63</v>
      </c>
      <c r="B50" s="75">
        <f t="shared" si="0"/>
        <v>804.51</v>
      </c>
      <c r="C50" s="80">
        <f t="shared" si="1"/>
        <v>3.5752424399999998</v>
      </c>
    </row>
    <row r="51" spans="1:3" x14ac:dyDescent="0.25">
      <c r="A51" s="76">
        <v>64</v>
      </c>
      <c r="B51" s="76">
        <f t="shared" si="0"/>
        <v>817.28</v>
      </c>
      <c r="C51" s="81">
        <f t="shared" si="1"/>
        <v>3.6319923199999997</v>
      </c>
    </row>
    <row r="52" spans="1:3" x14ac:dyDescent="0.25">
      <c r="A52" s="77">
        <v>65</v>
      </c>
      <c r="B52" s="75">
        <f t="shared" si="0"/>
        <v>830.05</v>
      </c>
      <c r="C52" s="80">
        <f t="shared" si="1"/>
        <v>3.6887421999999996</v>
      </c>
    </row>
    <row r="53" spans="1:3" x14ac:dyDescent="0.25">
      <c r="A53" s="76">
        <v>66</v>
      </c>
      <c r="B53" s="76">
        <f t="shared" si="0"/>
        <v>842.81999999999994</v>
      </c>
      <c r="C53" s="81">
        <f t="shared" si="1"/>
        <v>3.7454920799999996</v>
      </c>
    </row>
    <row r="54" spans="1:3" x14ac:dyDescent="0.25">
      <c r="A54" s="77">
        <v>67</v>
      </c>
      <c r="B54" s="75">
        <f t="shared" si="0"/>
        <v>855.58999999999992</v>
      </c>
      <c r="C54" s="80">
        <f t="shared" si="1"/>
        <v>3.8022419599999995</v>
      </c>
    </row>
    <row r="55" spans="1:3" x14ac:dyDescent="0.25">
      <c r="A55" s="76">
        <v>68</v>
      </c>
      <c r="B55" s="76">
        <f t="shared" si="0"/>
        <v>868.36</v>
      </c>
      <c r="C55" s="81">
        <f t="shared" si="1"/>
        <v>3.8589918400000003</v>
      </c>
    </row>
    <row r="56" spans="1:3" x14ac:dyDescent="0.25">
      <c r="A56" s="77">
        <v>69</v>
      </c>
      <c r="B56" s="75">
        <f t="shared" si="0"/>
        <v>881.13</v>
      </c>
      <c r="C56" s="80">
        <f t="shared" si="1"/>
        <v>3.9157417200000002</v>
      </c>
    </row>
    <row r="57" spans="1:3" x14ac:dyDescent="0.25">
      <c r="A57" s="76">
        <v>70</v>
      </c>
      <c r="B57" s="76">
        <f t="shared" si="0"/>
        <v>893.9</v>
      </c>
      <c r="C57" s="81">
        <f t="shared" si="1"/>
        <v>3.9724915999999997</v>
      </c>
    </row>
    <row r="58" spans="1:3" x14ac:dyDescent="0.25">
      <c r="A58" s="77">
        <v>71</v>
      </c>
      <c r="B58" s="75">
        <f t="shared" si="0"/>
        <v>906.67</v>
      </c>
      <c r="C58" s="80">
        <f t="shared" si="1"/>
        <v>4.0292414799999996</v>
      </c>
    </row>
    <row r="59" spans="1:3" x14ac:dyDescent="0.25">
      <c r="A59" s="76">
        <v>72</v>
      </c>
      <c r="B59" s="76">
        <f t="shared" si="0"/>
        <v>919.43999999999994</v>
      </c>
      <c r="C59" s="81">
        <f t="shared" si="1"/>
        <v>4.0859913599999995</v>
      </c>
    </row>
    <row r="60" spans="1:3" x14ac:dyDescent="0.25">
      <c r="A60" s="77">
        <v>73</v>
      </c>
      <c r="B60" s="75">
        <f t="shared" si="0"/>
        <v>932.20999999999992</v>
      </c>
      <c r="C60" s="80">
        <f t="shared" si="1"/>
        <v>4.1427412399999994</v>
      </c>
    </row>
    <row r="61" spans="1:3" x14ac:dyDescent="0.25">
      <c r="A61" s="76">
        <v>74</v>
      </c>
      <c r="B61" s="76">
        <f t="shared" si="0"/>
        <v>944.98</v>
      </c>
      <c r="C61" s="81">
        <f t="shared" si="1"/>
        <v>4.1994911199999994</v>
      </c>
    </row>
    <row r="62" spans="1:3" x14ac:dyDescent="0.25">
      <c r="A62" s="77">
        <v>75</v>
      </c>
      <c r="B62" s="75">
        <f t="shared" si="0"/>
        <v>957.75</v>
      </c>
      <c r="C62" s="80">
        <f t="shared" si="1"/>
        <v>4.2562410000000002</v>
      </c>
    </row>
    <row r="63" spans="1:3" x14ac:dyDescent="0.25">
      <c r="A63" s="76">
        <v>76</v>
      </c>
      <c r="B63" s="76">
        <f t="shared" si="0"/>
        <v>970.52</v>
      </c>
      <c r="C63" s="81">
        <f t="shared" si="1"/>
        <v>4.3129908800000001</v>
      </c>
    </row>
    <row r="64" spans="1:3" x14ac:dyDescent="0.25">
      <c r="A64" s="77">
        <v>77</v>
      </c>
      <c r="B64" s="75">
        <f t="shared" si="0"/>
        <v>983.29</v>
      </c>
      <c r="C64" s="80">
        <f t="shared" si="1"/>
        <v>4.36974076</v>
      </c>
    </row>
    <row r="65" spans="1:3" x14ac:dyDescent="0.25">
      <c r="A65" s="76">
        <v>78</v>
      </c>
      <c r="B65" s="76">
        <f t="shared" si="0"/>
        <v>996.06</v>
      </c>
      <c r="C65" s="81">
        <f t="shared" si="1"/>
        <v>4.4264906399999999</v>
      </c>
    </row>
    <row r="66" spans="1:3" x14ac:dyDescent="0.25">
      <c r="A66" s="77">
        <v>79</v>
      </c>
      <c r="B66" s="75">
        <f t="shared" si="0"/>
        <v>1008.8299999999999</v>
      </c>
      <c r="C66" s="80">
        <f t="shared" si="1"/>
        <v>4.483240519999999</v>
      </c>
    </row>
    <row r="67" spans="1:3" x14ac:dyDescent="0.25">
      <c r="A67" s="76">
        <v>80</v>
      </c>
      <c r="B67" s="76">
        <f t="shared" ref="B67:B117" si="2">A67*12.77</f>
        <v>1021.5999999999999</v>
      </c>
      <c r="C67" s="81">
        <f t="shared" ref="C67:C117" si="3">(B67*4.444)/1000</f>
        <v>4.5399903999999998</v>
      </c>
    </row>
    <row r="68" spans="1:3" x14ac:dyDescent="0.25">
      <c r="A68" s="77">
        <v>81</v>
      </c>
      <c r="B68" s="75">
        <f t="shared" si="2"/>
        <v>1034.3699999999999</v>
      </c>
      <c r="C68" s="80">
        <f t="shared" si="3"/>
        <v>4.5967402799999988</v>
      </c>
    </row>
    <row r="69" spans="1:3" x14ac:dyDescent="0.25">
      <c r="A69" s="76">
        <v>82</v>
      </c>
      <c r="B69" s="76">
        <f t="shared" si="2"/>
        <v>1047.1399999999999</v>
      </c>
      <c r="C69" s="81">
        <f t="shared" si="3"/>
        <v>4.6534901599999996</v>
      </c>
    </row>
    <row r="70" spans="1:3" x14ac:dyDescent="0.25">
      <c r="A70" s="77">
        <v>83</v>
      </c>
      <c r="B70" s="75">
        <f t="shared" si="2"/>
        <v>1059.9099999999999</v>
      </c>
      <c r="C70" s="80">
        <f t="shared" si="3"/>
        <v>4.7102400399999995</v>
      </c>
    </row>
    <row r="71" spans="1:3" x14ac:dyDescent="0.25">
      <c r="A71" s="76">
        <v>84</v>
      </c>
      <c r="B71" s="76">
        <f t="shared" si="2"/>
        <v>1072.68</v>
      </c>
      <c r="C71" s="81">
        <f t="shared" si="3"/>
        <v>4.7669899200000003</v>
      </c>
    </row>
    <row r="72" spans="1:3" x14ac:dyDescent="0.25">
      <c r="A72" s="77">
        <v>85</v>
      </c>
      <c r="B72" s="75">
        <f t="shared" si="2"/>
        <v>1085.45</v>
      </c>
      <c r="C72" s="80">
        <f t="shared" si="3"/>
        <v>4.8237398000000002</v>
      </c>
    </row>
    <row r="73" spans="1:3" x14ac:dyDescent="0.25">
      <c r="A73" s="76">
        <v>86</v>
      </c>
      <c r="B73" s="76">
        <f t="shared" si="2"/>
        <v>1098.22</v>
      </c>
      <c r="C73" s="81">
        <f t="shared" si="3"/>
        <v>4.8804896799999993</v>
      </c>
    </row>
    <row r="74" spans="1:3" x14ac:dyDescent="0.25">
      <c r="A74" s="77">
        <v>87</v>
      </c>
      <c r="B74" s="75">
        <f t="shared" si="2"/>
        <v>1110.99</v>
      </c>
      <c r="C74" s="80">
        <f t="shared" si="3"/>
        <v>4.9372395600000001</v>
      </c>
    </row>
    <row r="75" spans="1:3" x14ac:dyDescent="0.25">
      <c r="A75" s="76">
        <v>88</v>
      </c>
      <c r="B75" s="76">
        <f t="shared" si="2"/>
        <v>1123.76</v>
      </c>
      <c r="C75" s="81">
        <f t="shared" si="3"/>
        <v>4.99398944</v>
      </c>
    </row>
    <row r="76" spans="1:3" x14ac:dyDescent="0.25">
      <c r="A76" s="77">
        <v>89</v>
      </c>
      <c r="B76" s="75">
        <f t="shared" si="2"/>
        <v>1136.53</v>
      </c>
      <c r="C76" s="80">
        <f t="shared" si="3"/>
        <v>5.0507393199999999</v>
      </c>
    </row>
    <row r="77" spans="1:3" x14ac:dyDescent="0.25">
      <c r="A77" s="76">
        <v>90</v>
      </c>
      <c r="B77" s="76">
        <f t="shared" si="2"/>
        <v>1149.3</v>
      </c>
      <c r="C77" s="81">
        <f t="shared" si="3"/>
        <v>5.1074891999999998</v>
      </c>
    </row>
    <row r="78" spans="1:3" x14ac:dyDescent="0.25">
      <c r="A78" s="77">
        <v>91</v>
      </c>
      <c r="B78" s="75">
        <f t="shared" si="2"/>
        <v>1162.07</v>
      </c>
      <c r="C78" s="80">
        <f t="shared" si="3"/>
        <v>5.1642390799999998</v>
      </c>
    </row>
    <row r="79" spans="1:3" x14ac:dyDescent="0.25">
      <c r="A79" s="76">
        <v>92</v>
      </c>
      <c r="B79" s="76">
        <f t="shared" si="2"/>
        <v>1174.8399999999999</v>
      </c>
      <c r="C79" s="81">
        <f t="shared" si="3"/>
        <v>5.2209889599999997</v>
      </c>
    </row>
    <row r="80" spans="1:3" x14ac:dyDescent="0.25">
      <c r="A80" s="77">
        <v>93</v>
      </c>
      <c r="B80" s="75">
        <f t="shared" si="2"/>
        <v>1187.6099999999999</v>
      </c>
      <c r="C80" s="80">
        <f t="shared" si="3"/>
        <v>5.2777388399999987</v>
      </c>
    </row>
    <row r="81" spans="1:3" x14ac:dyDescent="0.25">
      <c r="A81" s="76">
        <v>94</v>
      </c>
      <c r="B81" s="76">
        <f t="shared" si="2"/>
        <v>1200.3799999999999</v>
      </c>
      <c r="C81" s="81">
        <f t="shared" si="3"/>
        <v>5.3344887199999995</v>
      </c>
    </row>
    <row r="82" spans="1:3" x14ac:dyDescent="0.25">
      <c r="A82" s="77">
        <v>95</v>
      </c>
      <c r="B82" s="75">
        <f t="shared" si="2"/>
        <v>1213.1499999999999</v>
      </c>
      <c r="C82" s="80">
        <f t="shared" si="3"/>
        <v>5.3912385999999994</v>
      </c>
    </row>
    <row r="83" spans="1:3" x14ac:dyDescent="0.25">
      <c r="A83" s="76">
        <v>96</v>
      </c>
      <c r="B83" s="76">
        <f t="shared" si="2"/>
        <v>1225.92</v>
      </c>
      <c r="C83" s="81">
        <f t="shared" si="3"/>
        <v>5.4479884800000002</v>
      </c>
    </row>
    <row r="84" spans="1:3" x14ac:dyDescent="0.25">
      <c r="A84" s="77">
        <v>97</v>
      </c>
      <c r="B84" s="75">
        <f t="shared" si="2"/>
        <v>1238.69</v>
      </c>
      <c r="C84" s="80">
        <f t="shared" si="3"/>
        <v>5.5047383600000002</v>
      </c>
    </row>
    <row r="85" spans="1:3" x14ac:dyDescent="0.25">
      <c r="A85" s="76">
        <v>98</v>
      </c>
      <c r="B85" s="76">
        <f t="shared" si="2"/>
        <v>1251.46</v>
      </c>
      <c r="C85" s="81">
        <f t="shared" si="3"/>
        <v>5.5614882400000001</v>
      </c>
    </row>
    <row r="86" spans="1:3" x14ac:dyDescent="0.25">
      <c r="A86" s="77">
        <v>99</v>
      </c>
      <c r="B86" s="75">
        <f t="shared" si="2"/>
        <v>1264.23</v>
      </c>
      <c r="C86" s="80">
        <f t="shared" si="3"/>
        <v>5.61823812</v>
      </c>
    </row>
    <row r="87" spans="1:3" x14ac:dyDescent="0.25">
      <c r="A87" s="76">
        <v>100</v>
      </c>
      <c r="B87" s="76">
        <f t="shared" si="2"/>
        <v>1277</v>
      </c>
      <c r="C87" s="81">
        <f t="shared" si="3"/>
        <v>5.6749879999999999</v>
      </c>
    </row>
    <row r="88" spans="1:3" x14ac:dyDescent="0.25">
      <c r="A88" s="77">
        <v>101</v>
      </c>
      <c r="B88" s="75">
        <f t="shared" si="2"/>
        <v>1289.77</v>
      </c>
      <c r="C88" s="80">
        <f t="shared" si="3"/>
        <v>5.7317378799999998</v>
      </c>
    </row>
    <row r="89" spans="1:3" x14ac:dyDescent="0.25">
      <c r="A89" s="76">
        <v>102</v>
      </c>
      <c r="B89" s="76">
        <f t="shared" si="2"/>
        <v>1302.54</v>
      </c>
      <c r="C89" s="81">
        <f t="shared" si="3"/>
        <v>5.7884877599999998</v>
      </c>
    </row>
    <row r="90" spans="1:3" x14ac:dyDescent="0.25">
      <c r="A90" s="77">
        <v>103</v>
      </c>
      <c r="B90" s="75">
        <f t="shared" si="2"/>
        <v>1315.31</v>
      </c>
      <c r="C90" s="80">
        <f t="shared" si="3"/>
        <v>5.8452376399999997</v>
      </c>
    </row>
    <row r="91" spans="1:3" x14ac:dyDescent="0.25">
      <c r="A91" s="76">
        <v>104</v>
      </c>
      <c r="B91" s="76">
        <f t="shared" si="2"/>
        <v>1328.08</v>
      </c>
      <c r="C91" s="81">
        <f t="shared" si="3"/>
        <v>5.9019875199999996</v>
      </c>
    </row>
    <row r="92" spans="1:3" x14ac:dyDescent="0.25">
      <c r="A92" s="77">
        <v>105</v>
      </c>
      <c r="B92" s="75">
        <f t="shared" si="2"/>
        <v>1340.85</v>
      </c>
      <c r="C92" s="80">
        <f t="shared" si="3"/>
        <v>5.9587374000000004</v>
      </c>
    </row>
    <row r="93" spans="1:3" x14ac:dyDescent="0.25">
      <c r="A93" s="76">
        <v>106</v>
      </c>
      <c r="B93" s="76">
        <f t="shared" si="2"/>
        <v>1353.62</v>
      </c>
      <c r="C93" s="81">
        <f t="shared" si="3"/>
        <v>6.0154872799999994</v>
      </c>
    </row>
    <row r="94" spans="1:3" x14ac:dyDescent="0.25">
      <c r="A94" s="77">
        <v>107</v>
      </c>
      <c r="B94" s="75">
        <f t="shared" si="2"/>
        <v>1366.3899999999999</v>
      </c>
      <c r="C94" s="80">
        <f t="shared" si="3"/>
        <v>6.0722371599999994</v>
      </c>
    </row>
    <row r="95" spans="1:3" x14ac:dyDescent="0.25">
      <c r="A95" s="76">
        <v>108</v>
      </c>
      <c r="B95" s="76">
        <f t="shared" si="2"/>
        <v>1379.1599999999999</v>
      </c>
      <c r="C95" s="81">
        <f t="shared" si="3"/>
        <v>6.1289870399999993</v>
      </c>
    </row>
    <row r="96" spans="1:3" x14ac:dyDescent="0.25">
      <c r="A96" s="77">
        <v>109</v>
      </c>
      <c r="B96" s="75">
        <f t="shared" si="2"/>
        <v>1391.93</v>
      </c>
      <c r="C96" s="80">
        <f t="shared" si="3"/>
        <v>6.1857369200000001</v>
      </c>
    </row>
    <row r="97" spans="1:3" x14ac:dyDescent="0.25">
      <c r="A97" s="76">
        <v>110</v>
      </c>
      <c r="B97" s="76">
        <f t="shared" si="2"/>
        <v>1404.7</v>
      </c>
      <c r="C97" s="81">
        <f t="shared" si="3"/>
        <v>6.2424868000000009</v>
      </c>
    </row>
    <row r="98" spans="1:3" x14ac:dyDescent="0.25">
      <c r="A98" s="77">
        <v>111</v>
      </c>
      <c r="B98" s="75">
        <f t="shared" si="2"/>
        <v>1417.47</v>
      </c>
      <c r="C98" s="80">
        <f t="shared" si="3"/>
        <v>6.2992366799999999</v>
      </c>
    </row>
    <row r="99" spans="1:3" x14ac:dyDescent="0.25">
      <c r="A99" s="76">
        <v>112</v>
      </c>
      <c r="B99" s="76">
        <f t="shared" si="2"/>
        <v>1430.24</v>
      </c>
      <c r="C99" s="81">
        <f t="shared" si="3"/>
        <v>6.3559865599999998</v>
      </c>
    </row>
    <row r="100" spans="1:3" x14ac:dyDescent="0.25">
      <c r="A100" s="77">
        <v>113</v>
      </c>
      <c r="B100" s="75">
        <f t="shared" si="2"/>
        <v>1443.01</v>
      </c>
      <c r="C100" s="80">
        <f t="shared" si="3"/>
        <v>6.4127364399999998</v>
      </c>
    </row>
    <row r="101" spans="1:3" x14ac:dyDescent="0.25">
      <c r="A101" s="76">
        <v>114</v>
      </c>
      <c r="B101" s="76">
        <f t="shared" si="2"/>
        <v>1455.78</v>
      </c>
      <c r="C101" s="81">
        <f t="shared" si="3"/>
        <v>6.4694863199999997</v>
      </c>
    </row>
    <row r="102" spans="1:3" x14ac:dyDescent="0.25">
      <c r="A102" s="77">
        <v>115</v>
      </c>
      <c r="B102" s="75">
        <f t="shared" si="2"/>
        <v>1468.55</v>
      </c>
      <c r="C102" s="80">
        <f t="shared" si="3"/>
        <v>6.5262361999999996</v>
      </c>
    </row>
    <row r="103" spans="1:3" x14ac:dyDescent="0.25">
      <c r="A103" s="76">
        <v>116</v>
      </c>
      <c r="B103" s="76">
        <f t="shared" si="2"/>
        <v>1481.32</v>
      </c>
      <c r="C103" s="81">
        <f t="shared" si="3"/>
        <v>6.5829860799999995</v>
      </c>
    </row>
    <row r="104" spans="1:3" x14ac:dyDescent="0.25">
      <c r="A104" s="77">
        <v>117</v>
      </c>
      <c r="B104" s="75">
        <f t="shared" si="2"/>
        <v>1494.09</v>
      </c>
      <c r="C104" s="80">
        <f t="shared" si="3"/>
        <v>6.6397359600000003</v>
      </c>
    </row>
    <row r="105" spans="1:3" x14ac:dyDescent="0.25">
      <c r="A105" s="76">
        <v>118</v>
      </c>
      <c r="B105" s="76">
        <f t="shared" si="2"/>
        <v>1506.86</v>
      </c>
      <c r="C105" s="81">
        <f t="shared" si="3"/>
        <v>6.6964858399999994</v>
      </c>
    </row>
    <row r="106" spans="1:3" x14ac:dyDescent="0.25">
      <c r="A106" s="77">
        <v>119</v>
      </c>
      <c r="B106" s="75">
        <f t="shared" si="2"/>
        <v>1519.6299999999999</v>
      </c>
      <c r="C106" s="80">
        <f t="shared" si="3"/>
        <v>6.7532357199999993</v>
      </c>
    </row>
    <row r="107" spans="1:3" x14ac:dyDescent="0.25">
      <c r="A107" s="76">
        <v>120</v>
      </c>
      <c r="B107" s="76">
        <f t="shared" si="2"/>
        <v>1532.3999999999999</v>
      </c>
      <c r="C107" s="81">
        <f t="shared" si="3"/>
        <v>6.8099855999999992</v>
      </c>
    </row>
    <row r="108" spans="1:3" x14ac:dyDescent="0.25">
      <c r="A108" s="77">
        <v>121</v>
      </c>
      <c r="B108" s="75">
        <f t="shared" si="2"/>
        <v>1545.1699999999998</v>
      </c>
      <c r="C108" s="80">
        <f t="shared" si="3"/>
        <v>6.8667354799999991</v>
      </c>
    </row>
    <row r="109" spans="1:3" x14ac:dyDescent="0.25">
      <c r="A109" s="76">
        <v>122</v>
      </c>
      <c r="B109" s="76">
        <f t="shared" si="2"/>
        <v>1557.94</v>
      </c>
      <c r="C109" s="81">
        <f t="shared" si="3"/>
        <v>6.9234853600000008</v>
      </c>
    </row>
    <row r="110" spans="1:3" x14ac:dyDescent="0.25">
      <c r="A110" s="77">
        <v>123</v>
      </c>
      <c r="B110" s="75">
        <f t="shared" si="2"/>
        <v>1570.71</v>
      </c>
      <c r="C110" s="80">
        <f t="shared" si="3"/>
        <v>6.9802352399999998</v>
      </c>
    </row>
    <row r="111" spans="1:3" x14ac:dyDescent="0.25">
      <c r="A111" s="76">
        <v>124</v>
      </c>
      <c r="B111" s="76">
        <f t="shared" si="2"/>
        <v>1583.48</v>
      </c>
      <c r="C111" s="81">
        <f t="shared" si="3"/>
        <v>7.0369851200000006</v>
      </c>
    </row>
    <row r="112" spans="1:3" x14ac:dyDescent="0.25">
      <c r="A112" s="77">
        <v>125</v>
      </c>
      <c r="B112" s="75">
        <f t="shared" si="2"/>
        <v>1596.25</v>
      </c>
      <c r="C112" s="80">
        <f t="shared" si="3"/>
        <v>7.0937349999999997</v>
      </c>
    </row>
    <row r="113" spans="1:3" x14ac:dyDescent="0.25">
      <c r="A113" s="76">
        <v>126</v>
      </c>
      <c r="B113" s="76">
        <f t="shared" si="2"/>
        <v>1609.02</v>
      </c>
      <c r="C113" s="81">
        <f t="shared" si="3"/>
        <v>7.1504848799999996</v>
      </c>
    </row>
    <row r="114" spans="1:3" x14ac:dyDescent="0.25">
      <c r="A114" s="77">
        <v>127</v>
      </c>
      <c r="B114" s="75">
        <f t="shared" si="2"/>
        <v>1621.79</v>
      </c>
      <c r="C114" s="80">
        <f t="shared" si="3"/>
        <v>7.2072347599999995</v>
      </c>
    </row>
    <row r="115" spans="1:3" x14ac:dyDescent="0.25">
      <c r="A115" s="76">
        <v>128</v>
      </c>
      <c r="B115" s="76">
        <f t="shared" si="2"/>
        <v>1634.56</v>
      </c>
      <c r="C115" s="81">
        <f t="shared" si="3"/>
        <v>7.2639846399999994</v>
      </c>
    </row>
    <row r="116" spans="1:3" x14ac:dyDescent="0.25">
      <c r="A116" s="77">
        <v>129</v>
      </c>
      <c r="B116" s="75">
        <f t="shared" si="2"/>
        <v>1647.33</v>
      </c>
      <c r="C116" s="80">
        <f t="shared" si="3"/>
        <v>7.3207345200000002</v>
      </c>
    </row>
    <row r="117" spans="1:3" x14ac:dyDescent="0.25">
      <c r="A117" s="78">
        <v>130</v>
      </c>
      <c r="B117" s="76">
        <f t="shared" si="2"/>
        <v>1660.1</v>
      </c>
      <c r="C117" s="81">
        <f t="shared" si="3"/>
        <v>7.3774843999999993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"/>
  <sheetViews>
    <sheetView zoomScale="85" zoomScaleNormal="85" workbookViewId="0">
      <pane ySplit="2" topLeftCell="A26" activePane="bottomLeft" state="frozen"/>
      <selection activeCell="A2" sqref="A2"/>
      <selection pane="bottomLeft" activeCell="D3" sqref="D3"/>
    </sheetView>
  </sheetViews>
  <sheetFormatPr defaultRowHeight="15" x14ac:dyDescent="0.25"/>
  <cols>
    <col min="1" max="1" width="10.28515625" customWidth="1"/>
    <col min="2" max="2" width="20.140625" customWidth="1"/>
    <col min="3" max="3" width="14.140625" customWidth="1"/>
    <col min="4" max="4" width="10.85546875" customWidth="1"/>
    <col min="5" max="5" width="11" customWidth="1"/>
    <col min="6" max="6" width="14" customWidth="1"/>
    <col min="7" max="7" width="16.5703125" customWidth="1"/>
    <col min="8" max="8" width="10.42578125" customWidth="1"/>
  </cols>
  <sheetData>
    <row r="1" spans="1:6" ht="25.5" customHeight="1" x14ac:dyDescent="0.25">
      <c r="A1" s="31"/>
      <c r="B1" s="31"/>
      <c r="C1" s="31" t="s">
        <v>23</v>
      </c>
      <c r="D1" s="31"/>
      <c r="E1" s="38" t="s">
        <v>22</v>
      </c>
      <c r="F1" s="38"/>
    </row>
    <row r="2" spans="1:6" ht="51.75" customHeight="1" x14ac:dyDescent="0.25">
      <c r="A2" s="1" t="s">
        <v>33</v>
      </c>
      <c r="B2" s="1" t="s">
        <v>16</v>
      </c>
      <c r="C2" s="1" t="s">
        <v>45</v>
      </c>
      <c r="D2" s="1" t="s">
        <v>46</v>
      </c>
      <c r="E2" s="32" t="s">
        <v>47</v>
      </c>
      <c r="F2" s="32" t="s">
        <v>48</v>
      </c>
    </row>
    <row r="3" spans="1:6" ht="21" x14ac:dyDescent="0.35">
      <c r="A3" s="30">
        <v>32</v>
      </c>
      <c r="B3" s="30">
        <v>220</v>
      </c>
      <c r="C3" s="30">
        <f>Tabuľka4[[#This Row],[Priemer]]*6.4347826</f>
        <v>205.9130432</v>
      </c>
      <c r="D3" s="56">
        <f>(Tabuľka4[[#This Row],[stupanie]]/6*18)/1000</f>
        <v>0.6177391296000001</v>
      </c>
      <c r="E3" s="30">
        <v>157</v>
      </c>
      <c r="F3" s="30">
        <f>Tabuľka4[[#This Row],[stupanie2]]/2*5</f>
        <v>392.5</v>
      </c>
    </row>
    <row r="4" spans="1:6" ht="21" customHeight="1" x14ac:dyDescent="0.35">
      <c r="A4" s="2">
        <v>34</v>
      </c>
      <c r="B4" s="2">
        <v>100</v>
      </c>
      <c r="C4" s="30">
        <f>Tabuľka4[[#This Row],[Priemer]]*6.4347826</f>
        <v>218.78260840000002</v>
      </c>
      <c r="D4" s="56">
        <f>(Tabuľka4[[#This Row],[stupanie]]/6*18)/1000</f>
        <v>0.65634782520000001</v>
      </c>
      <c r="E4" s="2">
        <v>167</v>
      </c>
      <c r="F4" s="30">
        <f>Tabuľka4[[#This Row],[stupanie2]]/2*5</f>
        <v>417.5</v>
      </c>
    </row>
    <row r="5" spans="1:6" ht="21" customHeight="1" x14ac:dyDescent="0.35">
      <c r="A5" s="2">
        <v>36</v>
      </c>
      <c r="B5" s="2">
        <v>100</v>
      </c>
      <c r="C5" s="30">
        <f>Tabuľka4[[#This Row],[Priemer]]*6.4347826</f>
        <v>231.6521736</v>
      </c>
      <c r="D5" s="56">
        <f>(Tabuľka4[[#This Row],[stupanie]]/6*18)/1000</f>
        <v>0.69495652079999992</v>
      </c>
      <c r="E5" s="2">
        <v>167</v>
      </c>
      <c r="F5" s="30">
        <f>Tabuľka4[[#This Row],[stupanie2]]/2*5</f>
        <v>417.5</v>
      </c>
    </row>
    <row r="6" spans="1:6" ht="21" x14ac:dyDescent="0.35">
      <c r="A6" s="2">
        <v>38</v>
      </c>
      <c r="B6" s="2">
        <v>100</v>
      </c>
      <c r="C6" s="30">
        <f>Tabuľka4[[#This Row],[Priemer]]*6.4347826</f>
        <v>244.52173880000001</v>
      </c>
      <c r="D6" s="56">
        <f>(Tabuľka4[[#This Row],[stupanie]]/6*18)/1000</f>
        <v>0.73356521640000005</v>
      </c>
      <c r="E6" s="2">
        <v>181</v>
      </c>
      <c r="F6" s="30">
        <f>Tabuľka4[[#This Row],[stupanie2]]/2*5</f>
        <v>452.5</v>
      </c>
    </row>
    <row r="7" spans="1:6" ht="21" x14ac:dyDescent="0.35">
      <c r="A7" s="2">
        <v>40</v>
      </c>
      <c r="B7" s="2">
        <v>350</v>
      </c>
      <c r="C7" s="30">
        <f>Tabuľka4[[#This Row],[Priemer]]*6.4347826</f>
        <v>257.39130399999999</v>
      </c>
      <c r="D7" s="56">
        <f>(Tabuľka4[[#This Row],[stupanie]]/6*18)/1000</f>
        <v>0.77217391199999996</v>
      </c>
      <c r="E7" s="2">
        <v>196</v>
      </c>
      <c r="F7" s="30">
        <f>Tabuľka4[[#This Row],[stupanie2]]/2*5</f>
        <v>490</v>
      </c>
    </row>
    <row r="8" spans="1:6" ht="21" x14ac:dyDescent="0.35">
      <c r="A8" s="2">
        <v>42</v>
      </c>
      <c r="B8" s="2">
        <v>200</v>
      </c>
      <c r="C8" s="30">
        <f>Tabuľka4[[#This Row],[Priemer]]*6.4347826</f>
        <v>270.2608692</v>
      </c>
      <c r="D8" s="56">
        <f>(Tabuľka4[[#This Row],[stupanie]]/6*18)/1000</f>
        <v>0.81078260759999998</v>
      </c>
      <c r="E8" s="2">
        <v>210</v>
      </c>
      <c r="F8" s="30">
        <f>Tabuľka4[[#This Row],[stupanie2]]/2*5</f>
        <v>525</v>
      </c>
    </row>
    <row r="9" spans="1:6" ht="21" x14ac:dyDescent="0.35">
      <c r="A9" s="2">
        <v>44</v>
      </c>
      <c r="B9" s="2">
        <v>100</v>
      </c>
      <c r="C9" s="30">
        <f>Tabuľka4[[#This Row],[Priemer]]*6.4347826</f>
        <v>283.13043440000001</v>
      </c>
      <c r="D9" s="56">
        <f>(Tabuľka4[[#This Row],[stupanie]]/6*18)/1000</f>
        <v>0.8493913032</v>
      </c>
      <c r="E9" s="2">
        <v>220</v>
      </c>
      <c r="F9" s="30">
        <f>Tabuľka4[[#This Row],[stupanie2]]/2*5</f>
        <v>550</v>
      </c>
    </row>
    <row r="10" spans="1:6" ht="21" x14ac:dyDescent="0.35">
      <c r="A10" s="2">
        <v>46</v>
      </c>
      <c r="B10" s="2">
        <v>100</v>
      </c>
      <c r="C10" s="30">
        <f>Tabuľka4[[#This Row],[Priemer]]*6.4347826</f>
        <v>295.99999960000002</v>
      </c>
      <c r="D10" s="56">
        <f>(Tabuľka4[[#This Row],[stupanie]]/6*18)/1000</f>
        <v>0.88799999880000002</v>
      </c>
      <c r="E10" s="2">
        <v>230</v>
      </c>
      <c r="F10" s="30">
        <f>Tabuľka4[[#This Row],[stupanie2]]/2*5</f>
        <v>575</v>
      </c>
    </row>
    <row r="11" spans="1:6" ht="21" x14ac:dyDescent="0.35">
      <c r="A11" s="2">
        <v>48</v>
      </c>
      <c r="B11" s="2">
        <v>110</v>
      </c>
      <c r="C11" s="30">
        <f>Tabuľka4[[#This Row],[Priemer]]*6.4347826</f>
        <v>308.86956480000003</v>
      </c>
      <c r="D11" s="56">
        <f>(Tabuľka4[[#This Row],[stupanie]]/6*18)/1000</f>
        <v>0.92660869440000015</v>
      </c>
      <c r="E11" s="2">
        <v>240</v>
      </c>
      <c r="F11" s="30">
        <f>Tabuľka4[[#This Row],[stupanie2]]/2*5</f>
        <v>600</v>
      </c>
    </row>
    <row r="12" spans="1:6" ht="21" customHeight="1" x14ac:dyDescent="0.35">
      <c r="A12" s="2">
        <v>50</v>
      </c>
      <c r="B12" s="2">
        <v>100</v>
      </c>
      <c r="C12" s="30">
        <f>Tabuľka4[[#This Row],[Priemer]]*6.4347826</f>
        <v>321.73912999999999</v>
      </c>
      <c r="D12" s="56">
        <f>(Tabuľka4[[#This Row],[stupanie]]/6*18)/1000</f>
        <v>0.96521739000000006</v>
      </c>
      <c r="E12" s="2">
        <v>248</v>
      </c>
      <c r="F12" s="30">
        <f>Tabuľka4[[#This Row],[stupanie2]]/2*5</f>
        <v>620</v>
      </c>
    </row>
    <row r="13" spans="1:6" ht="21" x14ac:dyDescent="0.35">
      <c r="A13" s="2">
        <v>52</v>
      </c>
      <c r="B13" s="2">
        <v>100</v>
      </c>
      <c r="C13" s="30">
        <f>Tabuľka4[[#This Row],[Priemer]]*6.4347826</f>
        <v>334.6086952</v>
      </c>
      <c r="D13" s="56">
        <f>(Tabuľka4[[#This Row],[stupanie]]/6*18)/1000</f>
        <v>1.0038260856000001</v>
      </c>
      <c r="E13" s="2">
        <v>258</v>
      </c>
      <c r="F13" s="30">
        <f>Tabuľka4[[#This Row],[stupanie2]]/2*5</f>
        <v>645</v>
      </c>
    </row>
    <row r="14" spans="1:6" ht="21" x14ac:dyDescent="0.35">
      <c r="A14" s="2">
        <v>54</v>
      </c>
      <c r="B14" s="2">
        <v>100</v>
      </c>
      <c r="C14" s="30">
        <f>Tabuľka4[[#This Row],[Priemer]]*6.4347826</f>
        <v>347.47826040000001</v>
      </c>
      <c r="D14" s="56">
        <f>(Tabuľka4[[#This Row],[stupanie]]/6*18)/1000</f>
        <v>1.0424347812000001</v>
      </c>
      <c r="E14" s="2">
        <v>268</v>
      </c>
      <c r="F14" s="30">
        <f>Tabuľka4[[#This Row],[stupanie2]]/2*5</f>
        <v>670</v>
      </c>
    </row>
    <row r="15" spans="1:6" ht="21" x14ac:dyDescent="0.35">
      <c r="A15" s="2">
        <v>56</v>
      </c>
      <c r="B15" s="2">
        <v>300</v>
      </c>
      <c r="C15" s="30">
        <f>Tabuľka4[[#This Row],[Priemer]]*6.4347826</f>
        <v>360.34782560000002</v>
      </c>
      <c r="D15" s="56">
        <f>(Tabuľka4[[#This Row],[stupanie]]/6*18)/1000</f>
        <v>1.0810434767999999</v>
      </c>
      <c r="E15" s="2">
        <v>278</v>
      </c>
      <c r="F15" s="30">
        <f>Tabuľka4[[#This Row],[stupanie2]]/2*5</f>
        <v>695</v>
      </c>
    </row>
    <row r="16" spans="1:6" ht="21" x14ac:dyDescent="0.35">
      <c r="A16" s="2">
        <v>58</v>
      </c>
      <c r="B16" s="2">
        <v>100</v>
      </c>
      <c r="C16" s="30">
        <f>Tabuľka4[[#This Row],[Priemer]]*6.4347826</f>
        <v>373.21739080000003</v>
      </c>
      <c r="D16" s="56">
        <f>(Tabuľka4[[#This Row],[stupanie]]/6*18)/1000</f>
        <v>1.1196521724000001</v>
      </c>
      <c r="E16" s="2">
        <v>288</v>
      </c>
      <c r="F16" s="30">
        <f>Tabuľka4[[#This Row],[stupanie2]]/2*5</f>
        <v>720</v>
      </c>
    </row>
    <row r="17" spans="1:6" ht="21" x14ac:dyDescent="0.35">
      <c r="A17" s="2">
        <v>60</v>
      </c>
      <c r="B17" s="2">
        <v>100</v>
      </c>
      <c r="C17" s="30">
        <f>Tabuľka4[[#This Row],[Priemer]]*6.4347826</f>
        <v>386.08695599999999</v>
      </c>
      <c r="D17" s="56">
        <f>(Tabuľka4[[#This Row],[stupanie]]/6*18)/1000</f>
        <v>1.1582608679999999</v>
      </c>
      <c r="E17" s="2">
        <v>297</v>
      </c>
      <c r="F17" s="30">
        <f>Tabuľka4[[#This Row],[stupanie2]]/2*5</f>
        <v>742.5</v>
      </c>
    </row>
    <row r="18" spans="1:6" ht="21" x14ac:dyDescent="0.35">
      <c r="A18" s="2">
        <v>62</v>
      </c>
      <c r="B18" s="2">
        <v>100</v>
      </c>
      <c r="C18" s="30">
        <f>Tabuľka4[[#This Row],[Priemer]]*6.4347826</f>
        <v>398.9565212</v>
      </c>
      <c r="D18" s="56">
        <f>(Tabuľka4[[#This Row],[stupanie]]/6*18)/1000</f>
        <v>1.1968695636</v>
      </c>
      <c r="E18" s="2">
        <v>307</v>
      </c>
      <c r="F18" s="30">
        <f>Tabuľka4[[#This Row],[stupanie2]]/2*5</f>
        <v>767.5</v>
      </c>
    </row>
    <row r="19" spans="1:6" ht="21" x14ac:dyDescent="0.35">
      <c r="A19" s="2">
        <v>64</v>
      </c>
      <c r="B19" s="2">
        <v>220</v>
      </c>
      <c r="C19" s="30">
        <f>Tabuľka4[[#This Row],[Priemer]]*6.4347826</f>
        <v>411.82608640000001</v>
      </c>
      <c r="D19" s="56">
        <f>(Tabuľka4[[#This Row],[stupanie]]/6*18)/1000</f>
        <v>1.2354782592000002</v>
      </c>
      <c r="E19" s="2">
        <v>317</v>
      </c>
      <c r="F19" s="30">
        <f>Tabuľka4[[#This Row],[stupanie2]]/2*5</f>
        <v>792.5</v>
      </c>
    </row>
    <row r="20" spans="1:6" ht="21" x14ac:dyDescent="0.35">
      <c r="A20" s="2">
        <v>66</v>
      </c>
      <c r="B20" s="2">
        <v>100</v>
      </c>
      <c r="C20" s="30">
        <f>Tabuľka4[[#This Row],[Priemer]]*6.4347826</f>
        <v>424.69565160000002</v>
      </c>
      <c r="D20" s="56">
        <f>(Tabuľka4[[#This Row],[stupanie]]/6*18)/1000</f>
        <v>1.2740869548</v>
      </c>
      <c r="E20" s="2">
        <v>327</v>
      </c>
      <c r="F20" s="30">
        <f>Tabuľka4[[#This Row],[stupanie2]]/2*5</f>
        <v>817.5</v>
      </c>
    </row>
    <row r="21" spans="1:6" ht="21" x14ac:dyDescent="0.35">
      <c r="A21" s="2">
        <v>68</v>
      </c>
      <c r="B21" s="2">
        <v>100</v>
      </c>
      <c r="C21" s="30">
        <f>Tabuľka4[[#This Row],[Priemer]]*6.4347826</f>
        <v>437.56521680000003</v>
      </c>
      <c r="D21" s="56">
        <f>(Tabuľka4[[#This Row],[stupanie]]/6*18)/1000</f>
        <v>1.3126956504</v>
      </c>
      <c r="E21" s="2">
        <v>337</v>
      </c>
      <c r="F21" s="30">
        <f>Tabuľka4[[#This Row],[stupanie2]]/2*5</f>
        <v>842.5</v>
      </c>
    </row>
    <row r="22" spans="1:6" ht="21" x14ac:dyDescent="0.35">
      <c r="A22" s="2">
        <v>70</v>
      </c>
      <c r="B22" s="2">
        <v>100</v>
      </c>
      <c r="C22" s="30">
        <f>Tabuľka4[[#This Row],[Priemer]]*6.4347826</f>
        <v>450.43478199999998</v>
      </c>
      <c r="D22" s="56">
        <f>(Tabuľka4[[#This Row],[stupanie]]/6*18)/1000</f>
        <v>1.3513043459999998</v>
      </c>
      <c r="E22" s="2">
        <v>347</v>
      </c>
      <c r="F22" s="30">
        <f>Tabuľka4[[#This Row],[stupanie2]]/2*5</f>
        <v>867.5</v>
      </c>
    </row>
    <row r="23" spans="1:6" ht="21" x14ac:dyDescent="0.35">
      <c r="A23" s="2">
        <v>72</v>
      </c>
      <c r="B23" s="2">
        <v>220</v>
      </c>
      <c r="C23" s="30">
        <f>Tabuľka4[[#This Row],[Priemer]]*6.4347826</f>
        <v>463.3043472</v>
      </c>
      <c r="D23" s="56">
        <f>(Tabuľka4[[#This Row],[stupanie]]/6*18)/1000</f>
        <v>1.3899130415999998</v>
      </c>
      <c r="E23" s="2">
        <v>357</v>
      </c>
      <c r="F23" s="30">
        <f>Tabuľka4[[#This Row],[stupanie2]]/2*5</f>
        <v>892.5</v>
      </c>
    </row>
    <row r="24" spans="1:6" ht="21" x14ac:dyDescent="0.35">
      <c r="A24" s="2">
        <v>74</v>
      </c>
      <c r="B24" s="2">
        <v>100</v>
      </c>
      <c r="C24" s="30">
        <f>Tabuľka4[[#This Row],[Priemer]]*6.4347826</f>
        <v>476.17391240000001</v>
      </c>
      <c r="D24" s="56">
        <f>(Tabuľka4[[#This Row],[stupanie]]/6*18)/1000</f>
        <v>1.4285217372000001</v>
      </c>
      <c r="E24" s="2">
        <v>357</v>
      </c>
      <c r="F24" s="30">
        <f>Tabuľka4[[#This Row],[stupanie2]]/2*5</f>
        <v>892.5</v>
      </c>
    </row>
    <row r="25" spans="1:6" ht="21" x14ac:dyDescent="0.35">
      <c r="A25" s="2">
        <v>76</v>
      </c>
      <c r="B25" s="2">
        <v>100</v>
      </c>
      <c r="C25" s="30">
        <f>Tabuľka4[[#This Row],[Priemer]]*6.4347826</f>
        <v>489.04347760000002</v>
      </c>
      <c r="D25" s="56">
        <f>(Tabuľka4[[#This Row],[stupanie]]/6*18)/1000</f>
        <v>1.4671304328000001</v>
      </c>
      <c r="E25" s="2">
        <v>357</v>
      </c>
      <c r="F25" s="30">
        <f>Tabuľka4[[#This Row],[stupanie2]]/2*5</f>
        <v>892.5</v>
      </c>
    </row>
    <row r="26" spans="1:6" ht="21" x14ac:dyDescent="0.35">
      <c r="A26" s="2">
        <v>78</v>
      </c>
      <c r="B26" s="2">
        <v>100</v>
      </c>
      <c r="C26" s="30">
        <f>Tabuľka4[[#This Row],[Priemer]]*6.4347826</f>
        <v>501.91304280000003</v>
      </c>
      <c r="D26" s="56">
        <f>(Tabuľka4[[#This Row],[stupanie]]/6*18)/1000</f>
        <v>1.5057391284000001</v>
      </c>
      <c r="E26" s="2">
        <v>385</v>
      </c>
      <c r="F26" s="30">
        <f>Tabuľka4[[#This Row],[stupanie2]]/2*5</f>
        <v>962.5</v>
      </c>
    </row>
    <row r="27" spans="1:6" ht="21" x14ac:dyDescent="0.35">
      <c r="A27" s="2">
        <v>80</v>
      </c>
      <c r="B27" s="2">
        <v>100</v>
      </c>
      <c r="C27" s="30">
        <f>Tabuľka4[[#This Row],[Priemer]]*6.4347826</f>
        <v>514.78260799999998</v>
      </c>
      <c r="D27" s="56">
        <f>(Tabuľka4[[#This Row],[stupanie]]/6*18)/1000</f>
        <v>1.5443478239999999</v>
      </c>
      <c r="E27" s="2">
        <v>397</v>
      </c>
      <c r="F27" s="30">
        <f>Tabuľka4[[#This Row],[stupanie2]]/2*5</f>
        <v>992.5</v>
      </c>
    </row>
    <row r="28" spans="1:6" ht="21" x14ac:dyDescent="0.35">
      <c r="A28" s="2">
        <v>82</v>
      </c>
      <c r="B28" s="2">
        <v>100</v>
      </c>
      <c r="C28" s="30">
        <f>Tabuľka4[[#This Row],[Priemer]]*6.4347826</f>
        <v>527.65217319999999</v>
      </c>
      <c r="D28" s="56">
        <f>(Tabuľka4[[#This Row],[stupanie]]/6*18)/1000</f>
        <v>1.5829565195999999</v>
      </c>
      <c r="E28" s="2">
        <v>407</v>
      </c>
      <c r="F28" s="30">
        <f>Tabuľka4[[#This Row],[stupanie2]]/2*5</f>
        <v>1017.5</v>
      </c>
    </row>
    <row r="29" spans="1:6" ht="21" x14ac:dyDescent="0.35">
      <c r="A29" s="2">
        <v>84</v>
      </c>
      <c r="B29" s="2">
        <v>100</v>
      </c>
      <c r="C29" s="30">
        <f>Tabuľka4[[#This Row],[Priemer]]*6.4347826</f>
        <v>540.5217384</v>
      </c>
      <c r="D29" s="56">
        <f>(Tabuľka4[[#This Row],[stupanie]]/6*18)/1000</f>
        <v>1.6215652152</v>
      </c>
      <c r="E29" s="2">
        <v>416</v>
      </c>
      <c r="F29" s="30">
        <f>Tabuľka4[[#This Row],[stupanie2]]/2*5</f>
        <v>1040</v>
      </c>
    </row>
    <row r="30" spans="1:6" ht="21" x14ac:dyDescent="0.35">
      <c r="A30" s="2">
        <v>86</v>
      </c>
      <c r="B30" s="2">
        <v>100</v>
      </c>
      <c r="C30" s="30">
        <f>Tabuľka4[[#This Row],[Priemer]]*6.4347826</f>
        <v>553.39130360000001</v>
      </c>
      <c r="D30" s="56">
        <f>(Tabuľka4[[#This Row],[stupanie]]/6*18)/1000</f>
        <v>1.6601739108000002</v>
      </c>
      <c r="E30" s="2">
        <v>430</v>
      </c>
      <c r="F30" s="30">
        <f>Tabuľka4[[#This Row],[stupanie2]]/2*5</f>
        <v>1075</v>
      </c>
    </row>
    <row r="31" spans="1:6" ht="21" x14ac:dyDescent="0.35">
      <c r="A31" s="2">
        <v>88</v>
      </c>
      <c r="B31" s="2">
        <v>100</v>
      </c>
      <c r="C31" s="30">
        <f>Tabuľka4[[#This Row],[Priemer]]*6.4347826</f>
        <v>566.26086880000003</v>
      </c>
      <c r="D31" s="56">
        <f>(Tabuľka4[[#This Row],[stupanie]]/6*18)/1000</f>
        <v>1.6987826064</v>
      </c>
      <c r="E31" s="2">
        <v>436</v>
      </c>
      <c r="F31" s="30">
        <f>Tabuľka4[[#This Row],[stupanie2]]/2*5</f>
        <v>1090</v>
      </c>
    </row>
    <row r="32" spans="1:6" ht="21" x14ac:dyDescent="0.35">
      <c r="A32" s="2">
        <v>90</v>
      </c>
      <c r="B32" s="2">
        <v>100</v>
      </c>
      <c r="C32" s="30">
        <f>Tabuľka4[[#This Row],[Priemer]]*6.4347826</f>
        <v>579.13043400000004</v>
      </c>
      <c r="D32" s="56">
        <f>(Tabuľka4[[#This Row],[stupanie]]/6*18)/1000</f>
        <v>1.7373913020000002</v>
      </c>
      <c r="E32" s="2">
        <v>446</v>
      </c>
      <c r="F32" s="30">
        <f>Tabuľka4[[#This Row],[stupanie2]]/2*5</f>
        <v>1115</v>
      </c>
    </row>
    <row r="33" spans="1:6" ht="21" x14ac:dyDescent="0.35">
      <c r="A33" s="2">
        <v>92</v>
      </c>
      <c r="B33" s="2">
        <v>100</v>
      </c>
      <c r="C33" s="30">
        <f>Tabuľka4[[#This Row],[Priemer]]*6.4347826</f>
        <v>591.99999920000005</v>
      </c>
      <c r="D33" s="56">
        <f>(Tabuľka4[[#This Row],[stupanie]]/6*18)/1000</f>
        <v>1.7759999976</v>
      </c>
      <c r="E33" s="2">
        <v>456</v>
      </c>
      <c r="F33" s="30">
        <f>Tabuľka4[[#This Row],[stupanie2]]/2*5</f>
        <v>1140</v>
      </c>
    </row>
    <row r="34" spans="1:6" ht="21" x14ac:dyDescent="0.35">
      <c r="A34" s="2">
        <v>94</v>
      </c>
      <c r="B34" s="2">
        <v>100</v>
      </c>
      <c r="C34" s="30">
        <f>Tabuľka4[[#This Row],[Priemer]]*6.4347826</f>
        <v>604.86956440000006</v>
      </c>
      <c r="D34" s="56">
        <f>(Tabuľka4[[#This Row],[stupanie]]/6*18)/1000</f>
        <v>1.8146086932000001</v>
      </c>
      <c r="E34" s="2">
        <v>466</v>
      </c>
      <c r="F34" s="30">
        <f>Tabuľka4[[#This Row],[stupanie2]]/2*5</f>
        <v>1165</v>
      </c>
    </row>
    <row r="35" spans="1:6" ht="21" x14ac:dyDescent="0.35">
      <c r="A35" s="2">
        <v>96</v>
      </c>
      <c r="B35" s="2">
        <v>100</v>
      </c>
      <c r="C35" s="30">
        <f>Tabuľka4[[#This Row],[Priemer]]*6.4347826</f>
        <v>617.73912960000007</v>
      </c>
      <c r="D35" s="56">
        <f>(Tabuľka4[[#This Row],[stupanie]]/6*18)/1000</f>
        <v>1.8532173888000003</v>
      </c>
      <c r="E35" s="2">
        <v>476</v>
      </c>
      <c r="F35" s="30">
        <f>Tabuľka4[[#This Row],[stupanie2]]/2*5</f>
        <v>1190</v>
      </c>
    </row>
    <row r="36" spans="1:6" ht="21" x14ac:dyDescent="0.35">
      <c r="A36" s="2">
        <v>98</v>
      </c>
      <c r="B36" s="2">
        <v>100</v>
      </c>
      <c r="C36" s="30">
        <f>Tabuľka4[[#This Row],[Priemer]]*6.4347826</f>
        <v>630.60869479999997</v>
      </c>
      <c r="D36" s="56">
        <f>(Tabuľka4[[#This Row],[stupanie]]/6*18)/1000</f>
        <v>1.8918260843999999</v>
      </c>
      <c r="E36" s="2">
        <v>586</v>
      </c>
      <c r="F36" s="30">
        <f>Tabuľka4[[#This Row],[stupanie2]]/2*5</f>
        <v>1465</v>
      </c>
    </row>
    <row r="37" spans="1:6" ht="21" x14ac:dyDescent="0.35">
      <c r="A37" s="2">
        <v>100</v>
      </c>
      <c r="B37" s="2">
        <v>100</v>
      </c>
      <c r="C37" s="30">
        <f>Tabuľka4[[#This Row],[Priemer]]*6.4347826</f>
        <v>643.47825999999998</v>
      </c>
      <c r="D37" s="56">
        <f>(Tabuľka4[[#This Row],[stupanie]]/6*18)/1000</f>
        <v>1.9304347800000001</v>
      </c>
      <c r="E37" s="2">
        <v>596</v>
      </c>
      <c r="F37" s="30">
        <f>Tabuľka4[[#This Row],[stupanie2]]/2*5</f>
        <v>1490</v>
      </c>
    </row>
    <row r="38" spans="1:6" ht="21" x14ac:dyDescent="0.35">
      <c r="A38" s="2">
        <v>102</v>
      </c>
      <c r="B38" s="2">
        <v>100</v>
      </c>
      <c r="C38" s="30">
        <f>Tabuľka4[[#This Row],[Priemer]]*6.4347826</f>
        <v>656.34782519999999</v>
      </c>
      <c r="D38" s="56">
        <f>(Tabuľka4[[#This Row],[stupanie]]/6*18)/1000</f>
        <v>1.9690434755999999</v>
      </c>
      <c r="E38" s="2">
        <v>506</v>
      </c>
      <c r="F38" s="30">
        <f>Tabuľka4[[#This Row],[stupanie2]]/2*5</f>
        <v>1265</v>
      </c>
    </row>
    <row r="39" spans="1:6" ht="21" x14ac:dyDescent="0.35">
      <c r="A39" s="2">
        <v>104</v>
      </c>
      <c r="B39" s="2">
        <v>100</v>
      </c>
      <c r="C39" s="30">
        <f>Tabuľka4[[#This Row],[Priemer]]*6.4347826</f>
        <v>669.2173904</v>
      </c>
      <c r="D39" s="56">
        <f>(Tabuľka4[[#This Row],[stupanie]]/6*18)/1000</f>
        <v>2.0076521712000002</v>
      </c>
      <c r="E39" s="2">
        <v>516</v>
      </c>
      <c r="F39" s="30">
        <f>Tabuľka4[[#This Row],[stupanie2]]/2*5</f>
        <v>1290</v>
      </c>
    </row>
    <row r="40" spans="1:6" ht="21" x14ac:dyDescent="0.35">
      <c r="A40" s="2">
        <v>106</v>
      </c>
      <c r="B40" s="2">
        <v>100</v>
      </c>
      <c r="C40" s="30">
        <f>Tabuľka4[[#This Row],[Priemer]]*6.4347826</f>
        <v>682.08695560000001</v>
      </c>
      <c r="D40" s="56">
        <f>(Tabuľka4[[#This Row],[stupanie]]/6*18)/1000</f>
        <v>2.0462608668</v>
      </c>
      <c r="E40" s="2">
        <v>526</v>
      </c>
      <c r="F40" s="30">
        <f>Tabuľka4[[#This Row],[stupanie2]]/2*5</f>
        <v>1315</v>
      </c>
    </row>
    <row r="41" spans="1:6" ht="21" x14ac:dyDescent="0.35">
      <c r="A41" s="2">
        <v>108</v>
      </c>
      <c r="B41" s="2">
        <v>100</v>
      </c>
      <c r="C41" s="30">
        <f>Tabuľka4[[#This Row],[Priemer]]*6.4347826</f>
        <v>694.95652080000002</v>
      </c>
      <c r="D41" s="56">
        <f>(Tabuľka4[[#This Row],[stupanie]]/6*18)/1000</f>
        <v>2.0848695624000002</v>
      </c>
      <c r="E41" s="2">
        <v>540</v>
      </c>
      <c r="F41" s="30">
        <f>Tabuľka4[[#This Row],[stupanie2]]/2*5</f>
        <v>1350</v>
      </c>
    </row>
    <row r="42" spans="1:6" ht="21" x14ac:dyDescent="0.35">
      <c r="A42" s="2">
        <v>110</v>
      </c>
      <c r="B42" s="2">
        <v>100</v>
      </c>
      <c r="C42" s="30">
        <f>Tabuľka4[[#This Row],[Priemer]]*6.4347826</f>
        <v>707.82608600000003</v>
      </c>
      <c r="D42" s="56">
        <f>(Tabuľka4[[#This Row],[stupanie]]/6*18)/1000</f>
        <v>2.123478258</v>
      </c>
      <c r="E42" s="2">
        <v>555</v>
      </c>
      <c r="F42" s="30">
        <f>Tabuľka4[[#This Row],[stupanie2]]/2*5</f>
        <v>1387.5</v>
      </c>
    </row>
    <row r="43" spans="1:6" ht="21" x14ac:dyDescent="0.35">
      <c r="A43" s="2">
        <v>112</v>
      </c>
      <c r="B43" s="2">
        <v>100</v>
      </c>
      <c r="C43" s="30">
        <f>Tabuľka4[[#This Row],[Priemer]]*6.4347826</f>
        <v>720.69565120000004</v>
      </c>
      <c r="D43" s="56">
        <f>(Tabuľka4[[#This Row],[stupanie]]/6*18)/1000</f>
        <v>2.1620869535999998</v>
      </c>
      <c r="E43" s="2">
        <v>570</v>
      </c>
      <c r="F43" s="30">
        <f>Tabuľka4[[#This Row],[stupanie2]]/2*5</f>
        <v>1425</v>
      </c>
    </row>
    <row r="44" spans="1:6" ht="21" x14ac:dyDescent="0.35">
      <c r="A44" s="2">
        <v>114</v>
      </c>
      <c r="B44" s="2">
        <v>100</v>
      </c>
      <c r="C44" s="30">
        <f>Tabuľka4[[#This Row],[Priemer]]*6.4347826</f>
        <v>733.56521640000005</v>
      </c>
      <c r="D44" s="56">
        <f>(Tabuľka4[[#This Row],[stupanie]]/6*18)/1000</f>
        <v>2.2006956492</v>
      </c>
      <c r="E44" s="2">
        <v>595</v>
      </c>
      <c r="F44" s="30">
        <f>Tabuľka4[[#This Row],[stupanie2]]/2*5</f>
        <v>1487.5</v>
      </c>
    </row>
    <row r="45" spans="1:6" ht="21" x14ac:dyDescent="0.35">
      <c r="A45" s="2">
        <v>116</v>
      </c>
      <c r="B45" s="2">
        <v>100</v>
      </c>
      <c r="C45" s="30">
        <f>Tabuľka4[[#This Row],[Priemer]]*6.4347826</f>
        <v>746.43478160000006</v>
      </c>
      <c r="D45" s="56">
        <f>(Tabuľka4[[#This Row],[stupanie]]/6*18)/1000</f>
        <v>2.2393043448000003</v>
      </c>
      <c r="E45" s="2">
        <v>510</v>
      </c>
      <c r="F45" s="30">
        <f>Tabuľka4[[#This Row],[stupanie2]]/2*5</f>
        <v>1275</v>
      </c>
    </row>
    <row r="46" spans="1:6" ht="21" x14ac:dyDescent="0.35">
      <c r="A46" s="2">
        <v>118</v>
      </c>
      <c r="B46" s="2">
        <v>100</v>
      </c>
      <c r="C46" s="30">
        <f>Tabuľka4[[#This Row],[Priemer]]*6.4347826</f>
        <v>759.30434679999996</v>
      </c>
      <c r="D46" s="56">
        <f>(Tabuľka4[[#This Row],[stupanie]]/6*18)/1000</f>
        <v>2.2779130403999996</v>
      </c>
      <c r="E46" s="2">
        <v>530</v>
      </c>
      <c r="F46" s="30">
        <f>Tabuľka4[[#This Row],[stupanie2]]/2*5</f>
        <v>1325</v>
      </c>
    </row>
    <row r="47" spans="1:6" ht="21" x14ac:dyDescent="0.35">
      <c r="A47" s="3">
        <v>120</v>
      </c>
      <c r="B47" s="3">
        <v>100</v>
      </c>
      <c r="C47" s="33">
        <f>Tabuľka4[[#This Row],[Priemer]]*6.4347826</f>
        <v>772.17391199999997</v>
      </c>
      <c r="D47" s="57">
        <f>(Tabuľka4[[#This Row],[stupanie]]/6*18)/1000</f>
        <v>2.3165217359999999</v>
      </c>
      <c r="E47" s="3">
        <v>550</v>
      </c>
      <c r="F47" s="33">
        <f>Tabuľka4[[#This Row],[stupanie2]]/2*5</f>
        <v>1375</v>
      </c>
    </row>
    <row r="49" spans="3:3" x14ac:dyDescent="0.25">
      <c r="C49">
        <v>6.4347826000000001</v>
      </c>
    </row>
    <row r="55" spans="3:3" ht="15" customHeight="1" x14ac:dyDescent="0.25"/>
    <row r="56" spans="3:3" ht="27.75" customHeight="1" x14ac:dyDescent="0.25"/>
    <row r="57" spans="3:3" ht="9.75" customHeight="1" x14ac:dyDescent="0.25"/>
  </sheetData>
  <sheetProtection selectLockedCells="1" selectUnlockedCell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workbookViewId="0">
      <selection activeCell="H6" sqref="H6"/>
    </sheetView>
  </sheetViews>
  <sheetFormatPr defaultRowHeight="15" x14ac:dyDescent="0.25"/>
  <cols>
    <col min="1" max="1" width="10.42578125" customWidth="1"/>
    <col min="2" max="3" width="9.140625" customWidth="1"/>
    <col min="4" max="4" width="10.140625" customWidth="1"/>
    <col min="5" max="5" width="11.140625" customWidth="1"/>
  </cols>
  <sheetData>
    <row r="1" spans="1:8" ht="25.5" customHeight="1" x14ac:dyDescent="0.25">
      <c r="A1" s="34" t="s">
        <v>49</v>
      </c>
      <c r="B1" s="39"/>
      <c r="C1" s="40"/>
      <c r="D1" s="34" t="s">
        <v>50</v>
      </c>
      <c r="E1" s="39"/>
      <c r="F1" s="40"/>
    </row>
    <row r="2" spans="1:8" ht="25.5" customHeight="1" x14ac:dyDescent="0.25">
      <c r="A2" s="41" t="s">
        <v>51</v>
      </c>
      <c r="B2" s="42" t="s">
        <v>45</v>
      </c>
      <c r="C2" s="42" t="s">
        <v>52</v>
      </c>
      <c r="D2" s="35" t="s">
        <v>53</v>
      </c>
      <c r="E2" s="35" t="s">
        <v>54</v>
      </c>
      <c r="F2" s="35" t="s">
        <v>55</v>
      </c>
    </row>
    <row r="3" spans="1:8" ht="22.5" customHeight="1" x14ac:dyDescent="0.3">
      <c r="A3" s="29">
        <v>24</v>
      </c>
      <c r="B3" s="29">
        <v>152</v>
      </c>
      <c r="C3" s="58">
        <f>(Tabuľka48[[#This Row],[stupanie]]/6*18)/1000</f>
        <v>0.45600000000000002</v>
      </c>
      <c r="D3" s="29">
        <v>32</v>
      </c>
      <c r="E3" s="29">
        <v>119</v>
      </c>
      <c r="F3" s="29">
        <f t="shared" ref="F3:F18" si="0">E3/2*5</f>
        <v>297.5</v>
      </c>
    </row>
    <row r="4" spans="1:8" ht="18.75" x14ac:dyDescent="0.3">
      <c r="A4" s="29">
        <v>72</v>
      </c>
      <c r="B4" s="29">
        <v>411</v>
      </c>
      <c r="C4" s="58">
        <f>(Tabuľka48[[#This Row],[stupanie]]/6*18)/1000</f>
        <v>1.2330000000000001</v>
      </c>
      <c r="D4" s="29">
        <v>40</v>
      </c>
      <c r="E4" s="29">
        <v>160</v>
      </c>
      <c r="F4" s="29">
        <f t="shared" si="0"/>
        <v>400</v>
      </c>
    </row>
    <row r="5" spans="1:8" ht="18.75" x14ac:dyDescent="0.3">
      <c r="A5" s="29">
        <v>64</v>
      </c>
      <c r="B5" s="29">
        <v>546</v>
      </c>
      <c r="C5" s="58">
        <f>(Tabuľka48[[#This Row],[stupanie]]/6*18)/1000</f>
        <v>1.6379999999999999</v>
      </c>
      <c r="D5" s="29">
        <v>44</v>
      </c>
      <c r="E5" s="29">
        <v>170</v>
      </c>
      <c r="F5" s="29">
        <f t="shared" si="0"/>
        <v>425</v>
      </c>
    </row>
    <row r="6" spans="1:8" ht="18.75" customHeight="1" x14ac:dyDescent="0.3">
      <c r="A6" s="29">
        <v>56</v>
      </c>
      <c r="B6" s="29">
        <v>478</v>
      </c>
      <c r="C6" s="58">
        <f>(Tabuľka48[[#This Row],[stupanie]]/6*18)/1000</f>
        <v>1.4339999999999999</v>
      </c>
      <c r="D6" s="29">
        <v>48</v>
      </c>
      <c r="E6" s="29">
        <v>185</v>
      </c>
      <c r="F6" s="29">
        <f t="shared" si="0"/>
        <v>462.5</v>
      </c>
    </row>
    <row r="7" spans="1:8" ht="18.75" x14ac:dyDescent="0.3">
      <c r="A7" s="29"/>
      <c r="B7" s="29"/>
      <c r="C7" s="58">
        <f>(Tabuľka48[[#This Row],[stupanie]]/6*18)/1000</f>
        <v>0</v>
      </c>
      <c r="D7" s="29">
        <v>52</v>
      </c>
      <c r="E7" s="29">
        <v>200</v>
      </c>
      <c r="F7" s="29">
        <f t="shared" si="0"/>
        <v>500</v>
      </c>
    </row>
    <row r="8" spans="1:8" ht="18.75" x14ac:dyDescent="0.3">
      <c r="A8" s="29"/>
      <c r="B8" s="29"/>
      <c r="C8" s="58">
        <f>(Tabuľka48[[#This Row],[stupanie]]/6*18)/1000</f>
        <v>0</v>
      </c>
      <c r="D8" s="29">
        <v>56</v>
      </c>
      <c r="E8" s="29">
        <v>215</v>
      </c>
      <c r="F8" s="29">
        <f t="shared" si="0"/>
        <v>537.5</v>
      </c>
      <c r="H8" s="23"/>
    </row>
    <row r="9" spans="1:8" ht="18.75" x14ac:dyDescent="0.3">
      <c r="A9" s="29"/>
      <c r="B9" s="29"/>
      <c r="C9" s="58">
        <f>(Tabuľka48[[#This Row],[stupanie]]/6*18)/1000</f>
        <v>0</v>
      </c>
      <c r="D9" s="29">
        <v>60</v>
      </c>
      <c r="E9" s="29">
        <v>230</v>
      </c>
      <c r="F9" s="29">
        <f t="shared" si="0"/>
        <v>575</v>
      </c>
      <c r="H9" s="23"/>
    </row>
    <row r="10" spans="1:8" ht="18.75" x14ac:dyDescent="0.3">
      <c r="A10" s="29"/>
      <c r="B10" s="29"/>
      <c r="C10" s="58">
        <f>(Tabuľka48[[#This Row],[stupanie]]/6*18)/1000</f>
        <v>0</v>
      </c>
      <c r="D10" s="29">
        <v>64</v>
      </c>
      <c r="E10" s="29">
        <v>246</v>
      </c>
      <c r="F10" s="29">
        <f t="shared" si="0"/>
        <v>615</v>
      </c>
    </row>
    <row r="11" spans="1:8" ht="18.75" x14ac:dyDescent="0.3">
      <c r="A11" s="29"/>
      <c r="B11" s="29"/>
      <c r="C11" s="58">
        <f>(Tabuľka48[[#This Row],[stupanie]]/6*18)/1000</f>
        <v>0</v>
      </c>
      <c r="D11" s="29">
        <v>68</v>
      </c>
      <c r="E11" s="29">
        <v>262</v>
      </c>
      <c r="F11" s="29">
        <f t="shared" si="0"/>
        <v>655</v>
      </c>
    </row>
    <row r="12" spans="1:8" ht="18.75" x14ac:dyDescent="0.3">
      <c r="A12" s="29"/>
      <c r="B12" s="29"/>
      <c r="C12" s="58">
        <f>(Tabuľka48[[#This Row],[stupanie]]/6*18)/1000</f>
        <v>0</v>
      </c>
      <c r="D12" s="29">
        <v>72</v>
      </c>
      <c r="E12" s="29">
        <v>277</v>
      </c>
      <c r="F12" s="29">
        <f t="shared" si="0"/>
        <v>692.5</v>
      </c>
    </row>
    <row r="13" spans="1:8" ht="18.75" customHeight="1" x14ac:dyDescent="0.3">
      <c r="A13" s="29"/>
      <c r="B13" s="29"/>
      <c r="C13" s="58">
        <f>(Tabuľka48[[#This Row],[stupanie]]/6*18)/1000</f>
        <v>0</v>
      </c>
      <c r="D13" s="29">
        <v>76</v>
      </c>
      <c r="E13" s="29">
        <v>291</v>
      </c>
      <c r="F13" s="29">
        <f t="shared" si="0"/>
        <v>727.5</v>
      </c>
    </row>
    <row r="14" spans="1:8" ht="18.75" x14ac:dyDescent="0.3">
      <c r="A14" s="29"/>
      <c r="B14" s="29"/>
      <c r="C14" s="58">
        <f>(Tabuľka48[[#This Row],[stupanie]]/6*18)/1000</f>
        <v>0</v>
      </c>
      <c r="D14" s="29">
        <v>80</v>
      </c>
      <c r="E14" s="29">
        <v>304</v>
      </c>
      <c r="F14" s="29">
        <f t="shared" si="0"/>
        <v>760</v>
      </c>
    </row>
    <row r="15" spans="1:8" ht="18.75" x14ac:dyDescent="0.3">
      <c r="A15" s="29"/>
      <c r="B15" s="29"/>
      <c r="C15" s="58">
        <f>(Tabuľka48[[#This Row],[stupanie]]/6*18)/1000</f>
        <v>0</v>
      </c>
      <c r="D15" s="29">
        <v>84</v>
      </c>
      <c r="E15" s="29">
        <v>322</v>
      </c>
      <c r="F15" s="29">
        <f t="shared" si="0"/>
        <v>805</v>
      </c>
    </row>
    <row r="16" spans="1:8" ht="18.75" x14ac:dyDescent="0.3">
      <c r="A16" s="29"/>
      <c r="B16" s="29"/>
      <c r="C16" s="58">
        <f>(Tabuľka48[[#This Row],[stupanie]]/6*18)/1000</f>
        <v>0</v>
      </c>
      <c r="D16" s="29">
        <v>88</v>
      </c>
      <c r="E16" s="29">
        <v>325</v>
      </c>
      <c r="F16" s="29">
        <f t="shared" si="0"/>
        <v>812.5</v>
      </c>
    </row>
    <row r="17" spans="1:6" ht="18.75" x14ac:dyDescent="0.3">
      <c r="A17" s="29"/>
      <c r="B17" s="29"/>
      <c r="C17" s="58">
        <f>(Tabuľka48[[#This Row],[stupanie]]/6*18)/1000</f>
        <v>0</v>
      </c>
      <c r="D17" s="29">
        <v>90</v>
      </c>
      <c r="E17" s="29">
        <v>350</v>
      </c>
      <c r="F17" s="29">
        <f t="shared" si="0"/>
        <v>875</v>
      </c>
    </row>
    <row r="18" spans="1:6" ht="18.75" x14ac:dyDescent="0.3">
      <c r="A18" s="29"/>
      <c r="B18" s="29"/>
      <c r="C18" s="58">
        <f>(Tabuľka48[[#This Row],[stupanie]]/6*18)/1000</f>
        <v>0</v>
      </c>
      <c r="D18" s="29">
        <v>92</v>
      </c>
      <c r="E18" s="29">
        <v>375</v>
      </c>
      <c r="F18" s="29">
        <f t="shared" si="0"/>
        <v>937.5</v>
      </c>
    </row>
    <row r="19" spans="1:6" ht="18.75" x14ac:dyDescent="0.3">
      <c r="A19" s="29"/>
      <c r="B19" s="29"/>
      <c r="C19" s="58">
        <f>(Tabuľka48[[#This Row],[stupanie]]/6*18)/1000</f>
        <v>0</v>
      </c>
      <c r="D19" s="54"/>
      <c r="E19" s="54"/>
      <c r="F19" s="54"/>
    </row>
    <row r="20" spans="1:6" ht="18.75" x14ac:dyDescent="0.3">
      <c r="A20" s="29"/>
      <c r="B20" s="29"/>
      <c r="C20" s="58">
        <f>(Tabuľka48[[#This Row],[stupanie]]/6*18)/1000</f>
        <v>0</v>
      </c>
      <c r="D20" s="29"/>
      <c r="E20" s="29"/>
      <c r="F20" s="29"/>
    </row>
    <row r="21" spans="1:6" ht="18.75" x14ac:dyDescent="0.3">
      <c r="A21" s="29"/>
      <c r="B21" s="29"/>
      <c r="C21" s="58">
        <f>(Tabuľka48[[#This Row],[stupanie]]/6*18)/1000</f>
        <v>0</v>
      </c>
      <c r="D21" s="29"/>
      <c r="E21" s="29"/>
      <c r="F21" s="29"/>
    </row>
    <row r="22" spans="1:6" ht="18.75" x14ac:dyDescent="0.3">
      <c r="A22" s="29"/>
      <c r="B22" s="29"/>
      <c r="C22" s="58">
        <f>(Tabuľka48[[#This Row],[stupanie]]/6*18)/1000</f>
        <v>0</v>
      </c>
      <c r="D22" s="29"/>
      <c r="E22" s="29"/>
      <c r="F22" s="29"/>
    </row>
    <row r="23" spans="1:6" ht="18.75" x14ac:dyDescent="0.3">
      <c r="A23" s="29"/>
      <c r="B23" s="29"/>
      <c r="C23" s="58">
        <f>(Tabuľka48[[#This Row],[stupanie]]/6*18)/1000</f>
        <v>0</v>
      </c>
      <c r="D23" s="29"/>
      <c r="E23" s="29"/>
      <c r="F23" s="29"/>
    </row>
    <row r="24" spans="1:6" ht="18.75" x14ac:dyDescent="0.3">
      <c r="A24" s="29"/>
      <c r="B24" s="29"/>
      <c r="C24" s="58">
        <f>(Tabuľka48[[#This Row],[stupanie]]/6*18)/1000</f>
        <v>0</v>
      </c>
      <c r="D24" s="29"/>
      <c r="E24" s="29"/>
      <c r="F24" s="29"/>
    </row>
    <row r="25" spans="1:6" ht="18.75" x14ac:dyDescent="0.3">
      <c r="A25" s="29"/>
      <c r="B25" s="29"/>
      <c r="C25" s="58">
        <f>(Tabuľka48[[#This Row],[stupanie]]/6*18)/1000</f>
        <v>0</v>
      </c>
      <c r="D25" s="29"/>
      <c r="E25" s="29"/>
      <c r="F25" s="29"/>
    </row>
    <row r="26" spans="1:6" ht="18.75" x14ac:dyDescent="0.3">
      <c r="A26" s="29"/>
      <c r="B26" s="29"/>
      <c r="C26" s="58">
        <f>(Tabuľka48[[#This Row],[stupanie]]/6*18)/1000</f>
        <v>0</v>
      </c>
      <c r="D26" s="29"/>
      <c r="E26" s="29"/>
      <c r="F26" s="29"/>
    </row>
    <row r="27" spans="1:6" ht="18.75" x14ac:dyDescent="0.3">
      <c r="A27" s="29"/>
      <c r="B27" s="29"/>
      <c r="C27" s="58">
        <f>(Tabuľka48[[#This Row],[stupanie]]/6*18)/1000</f>
        <v>0</v>
      </c>
      <c r="D27" s="29"/>
      <c r="E27" s="29"/>
      <c r="F27" s="29"/>
    </row>
    <row r="28" spans="1:6" ht="18.75" x14ac:dyDescent="0.3">
      <c r="A28" s="29"/>
      <c r="B28" s="29"/>
      <c r="C28" s="58">
        <f>(Tabuľka48[[#This Row],[stupanie]]/6*18)/1000</f>
        <v>0</v>
      </c>
      <c r="D28" s="29"/>
      <c r="E28" s="29"/>
      <c r="F28" s="29"/>
    </row>
    <row r="29" spans="1:6" ht="18.75" x14ac:dyDescent="0.3">
      <c r="A29" s="29"/>
      <c r="B29" s="29"/>
      <c r="C29" s="58">
        <f>(Tabuľka48[[#This Row],[stupanie]]/6*18)/1000</f>
        <v>0</v>
      </c>
      <c r="D29" s="29"/>
      <c r="E29" s="29"/>
      <c r="F29" s="29"/>
    </row>
    <row r="30" spans="1:6" ht="18.75" x14ac:dyDescent="0.3">
      <c r="A30" s="29"/>
      <c r="B30" s="29"/>
      <c r="C30" s="58">
        <f>(Tabuľka48[[#This Row],[stupanie]]/6*18)/1000</f>
        <v>0</v>
      </c>
      <c r="D30" s="29"/>
      <c r="E30" s="29"/>
      <c r="F30" s="29"/>
    </row>
    <row r="31" spans="1:6" ht="18.75" x14ac:dyDescent="0.3">
      <c r="A31" s="29"/>
      <c r="B31" s="29"/>
      <c r="C31" s="58">
        <f>(Tabuľka48[[#This Row],[stupanie]]/6*18)/1000</f>
        <v>0</v>
      </c>
      <c r="D31" s="29"/>
      <c r="E31" s="29"/>
      <c r="F31" s="29"/>
    </row>
    <row r="32" spans="1:6" ht="18.75" x14ac:dyDescent="0.3">
      <c r="A32" s="29"/>
      <c r="B32" s="29"/>
      <c r="C32" s="58">
        <f>(Tabuľka48[[#This Row],[stupanie]]/6*18)/1000</f>
        <v>0</v>
      </c>
      <c r="D32" s="29"/>
      <c r="E32" s="29"/>
      <c r="F32" s="29"/>
    </row>
    <row r="33" spans="1:6" ht="18.75" x14ac:dyDescent="0.3">
      <c r="A33" s="29"/>
      <c r="B33" s="29"/>
      <c r="C33" s="58">
        <f>(Tabuľka48[[#This Row],[stupanie]]/6*18)/1000</f>
        <v>0</v>
      </c>
      <c r="D33" s="29"/>
      <c r="E33" s="29"/>
      <c r="F33" s="29"/>
    </row>
    <row r="34" spans="1:6" ht="18.75" x14ac:dyDescent="0.3">
      <c r="A34" s="29"/>
      <c r="B34" s="29"/>
      <c r="C34" s="58">
        <f>(Tabuľka48[[#This Row],[stupanie]]/6*18)/1000</f>
        <v>0</v>
      </c>
      <c r="D34" s="29"/>
      <c r="E34" s="29"/>
      <c r="F34" s="29"/>
    </row>
    <row r="35" spans="1:6" ht="18.75" x14ac:dyDescent="0.3">
      <c r="A35" s="29"/>
      <c r="B35" s="29"/>
      <c r="C35" s="58">
        <f>(Tabuľka48[[#This Row],[stupanie]]/6*18)/1000</f>
        <v>0</v>
      </c>
      <c r="D35" s="29"/>
      <c r="E35" s="29"/>
      <c r="F35" s="29"/>
    </row>
    <row r="36" spans="1:6" ht="18.75" x14ac:dyDescent="0.3">
      <c r="A36" s="29"/>
      <c r="B36" s="29"/>
      <c r="C36" s="58">
        <f>(Tabuľka48[[#This Row],[stupanie]]/6*18)/1000</f>
        <v>0</v>
      </c>
      <c r="D36" s="29"/>
      <c r="E36" s="29"/>
      <c r="F36" s="29"/>
    </row>
    <row r="37" spans="1:6" ht="18.75" x14ac:dyDescent="0.3">
      <c r="A37" s="29"/>
      <c r="B37" s="29"/>
      <c r="C37" s="58">
        <f>(Tabuľka48[[#This Row],[stupanie]]/6*18)/1000</f>
        <v>0</v>
      </c>
      <c r="D37" s="29"/>
      <c r="E37" s="29"/>
      <c r="F37" s="29"/>
    </row>
    <row r="38" spans="1:6" ht="18.75" x14ac:dyDescent="0.3">
      <c r="A38" s="29"/>
      <c r="B38" s="29"/>
      <c r="C38" s="58">
        <f>(Tabuľka48[[#This Row],[stupanie]]/6*18)/1000</f>
        <v>0</v>
      </c>
      <c r="D38" s="29"/>
      <c r="E38" s="29"/>
      <c r="F38" s="29"/>
    </row>
    <row r="39" spans="1:6" ht="18.75" x14ac:dyDescent="0.3">
      <c r="A39" s="29"/>
      <c r="B39" s="29"/>
      <c r="C39" s="58">
        <f>(Tabuľka48[[#This Row],[stupanie]]/6*18)/1000</f>
        <v>0</v>
      </c>
      <c r="D39" s="29"/>
      <c r="E39" s="29"/>
      <c r="F39" s="29"/>
    </row>
    <row r="40" spans="1:6" ht="18.75" x14ac:dyDescent="0.3">
      <c r="A40" s="29"/>
      <c r="B40" s="29"/>
      <c r="C40" s="58">
        <f>(Tabuľka48[[#This Row],[stupanie]]/6*18)/1000</f>
        <v>0</v>
      </c>
      <c r="D40" s="29"/>
      <c r="E40" s="29"/>
      <c r="F40" s="29"/>
    </row>
    <row r="41" spans="1:6" ht="18.75" x14ac:dyDescent="0.3">
      <c r="A41" s="54"/>
      <c r="B41" s="54"/>
      <c r="C41" s="58">
        <f>(Tabuľka48[[#This Row],[stupanie]]/6*18)/1000</f>
        <v>0</v>
      </c>
      <c r="D41" s="54"/>
      <c r="E41" s="54"/>
      <c r="F41" s="54"/>
    </row>
    <row r="42" spans="1:6" ht="18.75" x14ac:dyDescent="0.3">
      <c r="A42" s="54"/>
      <c r="B42" s="54"/>
      <c r="C42" s="58">
        <f>(Tabuľka48[[#This Row],[stupanie]]/6*18)/1000</f>
        <v>0</v>
      </c>
      <c r="D42" s="54"/>
      <c r="E42" s="54"/>
      <c r="F42" s="54"/>
    </row>
    <row r="43" spans="1:6" ht="18.75" x14ac:dyDescent="0.3">
      <c r="A43" s="54"/>
      <c r="B43" s="54"/>
      <c r="C43" s="58">
        <f>(Tabuľka48[[#This Row],[stupanie]]/6*18)/1000</f>
        <v>0</v>
      </c>
      <c r="D43" s="54"/>
      <c r="E43" s="54"/>
      <c r="F43" s="54"/>
    </row>
    <row r="44" spans="1:6" ht="18.75" x14ac:dyDescent="0.3">
      <c r="A44" s="54"/>
      <c r="B44" s="54"/>
      <c r="C44" s="58">
        <f>(Tabuľka48[[#This Row],[stupanie]]/6*18)/1000</f>
        <v>0</v>
      </c>
      <c r="D44" s="54"/>
      <c r="E44" s="54"/>
      <c r="F44" s="54"/>
    </row>
    <row r="45" spans="1:6" ht="18.75" x14ac:dyDescent="0.3">
      <c r="A45" s="54"/>
      <c r="B45" s="54"/>
      <c r="C45" s="58">
        <f>(Tabuľka48[[#This Row],[stupanie]]/6*18)/1000</f>
        <v>0</v>
      </c>
      <c r="D45" s="54"/>
      <c r="E45" s="54"/>
      <c r="F45" s="54"/>
    </row>
    <row r="46" spans="1:6" ht="18.75" x14ac:dyDescent="0.3">
      <c r="A46" s="54"/>
      <c r="B46" s="54"/>
      <c r="C46" s="58">
        <f>(Tabuľka48[[#This Row],[stupanie]]/6*18)/1000</f>
        <v>0</v>
      </c>
      <c r="D46" s="54"/>
      <c r="E46" s="54"/>
      <c r="F46" s="54"/>
    </row>
    <row r="47" spans="1:6" ht="18.75" x14ac:dyDescent="0.3">
      <c r="A47" s="54"/>
      <c r="B47" s="54"/>
      <c r="C47" s="58">
        <f>(Tabuľka48[[#This Row],[stupanie]]/6*18)/1000</f>
        <v>0</v>
      </c>
      <c r="D47" s="54"/>
      <c r="E47" s="54"/>
      <c r="F47" s="54"/>
    </row>
    <row r="48" spans="1:6" ht="18.75" x14ac:dyDescent="0.3">
      <c r="A48" s="54"/>
      <c r="B48" s="54"/>
      <c r="C48" s="58">
        <f>(Tabuľka48[[#This Row],[stupanie]]/6*18)/1000</f>
        <v>0</v>
      </c>
      <c r="D48" s="54"/>
      <c r="E48" s="54"/>
      <c r="F48" s="5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FCC3BF8C40A489E1C46000C06AA7E" ma:contentTypeVersion="16" ma:contentTypeDescription="Create a new document." ma:contentTypeScope="" ma:versionID="c64b52ad9f74ee0b3f2157414b051877">
  <xsd:schema xmlns:xsd="http://www.w3.org/2001/XMLSchema" xmlns:xs="http://www.w3.org/2001/XMLSchema" xmlns:p="http://schemas.microsoft.com/office/2006/metadata/properties" xmlns:ns2="eb43b07f-1d83-4c6d-91ad-d2897f46d971" xmlns:ns3="171fdf6f-b7ed-4b15-9bbb-896cbbfc04a5" xmlns:ns4="207b7f6e-62b2-4cac-9556-50810cc34479" targetNamespace="http://schemas.microsoft.com/office/2006/metadata/properties" ma:root="true" ma:fieldsID="f40fc0990d8fed12568043c92b124539" ns2:_="" ns3:_="" ns4:_="">
    <xsd:import namespace="eb43b07f-1d83-4c6d-91ad-d2897f46d971"/>
    <xsd:import namespace="171fdf6f-b7ed-4b15-9bbb-896cbbfc04a5"/>
    <xsd:import namespace="207b7f6e-62b2-4cac-9556-50810cc34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3b07f-1d83-4c6d-91ad-d2897f46d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df6f-b7ed-4b15-9bbb-896cbbfc04a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7f6e-62b2-4cac-9556-50810cc3447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88210d-3c3f-4d67-880f-b2aae1019d4a}" ma:internalName="TaxCatchAll" ma:showField="CatchAllData" ma:web="207b7f6e-62b2-4cac-9556-50810cc34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7b7f6e-62b2-4cac-9556-50810cc34479" xsi:nil="true"/>
    <lcf76f155ced4ddcb4097134ff3c332f xmlns="eb43b07f-1d83-4c6d-91ad-d2897f46d9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9176B1-2B59-4319-9194-A99919D984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7C07D5-6F27-494D-98AE-67EB76B4E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43b07f-1d83-4c6d-91ad-d2897f46d971"/>
    <ds:schemaRef ds:uri="171fdf6f-b7ed-4b15-9bbb-896cbbfc04a5"/>
    <ds:schemaRef ds:uri="207b7f6e-62b2-4cac-9556-50810cc34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677AA8-CF7E-4FF3-83CB-DAFBCAFAE98C}">
  <ds:schemaRefs>
    <ds:schemaRef ds:uri="http://purl.org/dc/terms/"/>
    <ds:schemaRef ds:uri="http://purl.org/dc/elements/1.1/"/>
    <ds:schemaRef ds:uri="http://purl.org/dc/dcmitype/"/>
    <ds:schemaRef ds:uri="eb43b07f-1d83-4c6d-91ad-d2897f46d971"/>
    <ds:schemaRef ds:uri="http://schemas.microsoft.com/office/2006/documentManagement/types"/>
    <ds:schemaRef ds:uri="http://schemas.microsoft.com/office/infopath/2007/PartnerControls"/>
    <ds:schemaRef ds:uri="171fdf6f-b7ed-4b15-9bbb-896cbbfc04a5"/>
    <ds:schemaRef ds:uri="http://www.w3.org/XML/1998/namespace"/>
    <ds:schemaRef ds:uri="http://schemas.openxmlformats.org/package/2006/metadata/core-properties"/>
    <ds:schemaRef ds:uri="207b7f6e-62b2-4cac-9556-50810cc34479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5d0227ad-3bcc-4106-8cf3-16e735f3b4c4}" enabled="0" method="" siteId="{5d0227ad-3bcc-4106-8cf3-16e735f3b4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kalkulátor rezných dĺžok</vt:lpstr>
      <vt:lpstr>Acera Amundsen 5-6G</vt:lpstr>
      <vt:lpstr>Acera daGama 6G</vt:lpstr>
      <vt:lpstr>Hárok5</vt:lpstr>
      <vt:lpstr>Hárok3</vt:lpstr>
      <vt:lpstr>Terraline Duodec</vt:lpstr>
      <vt:lpstr>Terraline 12</vt:lpstr>
      <vt:lpstr>TSM_TSS</vt:lpstr>
      <vt:lpstr>PES_PA</vt:lpstr>
      <vt:lpstr>Acera Amundsen 7G</vt:lpstr>
      <vt:lpstr>Acera daGama 7G</vt:lpstr>
      <vt:lpstr>Acera Nansen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 Vitáloš</dc:creator>
  <cp:keywords/>
  <dc:description/>
  <cp:lastModifiedBy>Čelko, Vratislav</cp:lastModifiedBy>
  <cp:revision/>
  <dcterms:created xsi:type="dcterms:W3CDTF">2018-03-07T06:54:12Z</dcterms:created>
  <dcterms:modified xsi:type="dcterms:W3CDTF">2024-10-22T08:34:08Z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0x010100528FCC3BF8C40A489E1C46000C06AA7E</vt:lpwstr>
  </property>
  <property fmtid="{D5CDD505-2E9C-101B-9397-08002B2CF9AE}" pid="3" name="AuthorIds_UIVersion_35328">
    <vt:lpwstr>36</vt:lpwstr>
  </property>
  <property fmtid="{D5CDD505-2E9C-101B-9397-08002B2CF9AE}" pid="4" name="MediaServiceImageTags">
    <vt:lpwstr/>
  </property>
</Properties>
</file>